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Properties" sheetId="1" r:id="rId1"/>
    <sheet name="Mixing" sheetId="2" r:id="rId2"/>
  </sheets>
  <definedNames>
    <definedName name="APHg">#REF!</definedName>
    <definedName name="APinHg">'Properties'!$AJ$7</definedName>
    <definedName name="APinHgIn">#REF!</definedName>
    <definedName name="APpsia">#REF!</definedName>
    <definedName name="AtmPress">'Properties'!$AJ$6</definedName>
    <definedName name="AtmPressIn">#REF!</definedName>
    <definedName name="BHP">#REF!</definedName>
    <definedName name="BPFactor">#REF!</definedName>
    <definedName name="cp">'Properties'!$AJ$15</definedName>
    <definedName name="DewPt1">'Properties'!$AJ$18</definedName>
    <definedName name="DewPt2">'Properties'!$AJ$30</definedName>
    <definedName name="DewPtHin">#REF!</definedName>
    <definedName name="DewPtHout">#REF!</definedName>
    <definedName name="DewPtHru">#REF!</definedName>
    <definedName name="DewPtIn">#REF!</definedName>
    <definedName name="DewPtOA">#REF!</definedName>
    <definedName name="DewPtOut">#REF!</definedName>
    <definedName name="DewPtRet">#REF!</definedName>
    <definedName name="DewPtRm">#REF!</definedName>
    <definedName name="DewPtSup">#REF!</definedName>
    <definedName name="Elev">#REF!</definedName>
    <definedName name="Elevation">'Properties'!$AJ$5</definedName>
    <definedName name="ElevH">#REF!</definedName>
    <definedName name="ElevIn">#REF!</definedName>
    <definedName name="Enal1">'Properties'!$AJ$16</definedName>
    <definedName name="Enal2">'Properties'!$AJ$28</definedName>
    <definedName name="EnalFluid">#REF!</definedName>
    <definedName name="EnalHin">#REF!</definedName>
    <definedName name="EnalHout">#REF!</definedName>
    <definedName name="EnalHru">#REF!</definedName>
    <definedName name="EnalIn">#REF!</definedName>
    <definedName name="EnalOA">#REF!</definedName>
    <definedName name="EnalOut">#REF!</definedName>
    <definedName name="EnalRet">#REF!</definedName>
    <definedName name="EnalRm">#REF!</definedName>
    <definedName name="EnalSup">#REF!</definedName>
    <definedName name="FanEff">#REF!</definedName>
    <definedName name="FluidTemp">#REF!</definedName>
    <definedName name="FluidType">#REF!</definedName>
    <definedName name="h">'Properties'!$AJ$16</definedName>
    <definedName name="HRatio1">'Properties'!$EN$13</definedName>
    <definedName name="HRatio2">'Properties'!$EN$15</definedName>
    <definedName name="HRatio3">'Mixing'!$D$16</definedName>
    <definedName name="HRatioadp">#REF!</definedName>
    <definedName name="HRatioHin">#REF!</definedName>
    <definedName name="HRatioHout">#REF!</definedName>
    <definedName name="HRatioHru">#REF!</definedName>
    <definedName name="HRatioIn">#REF!</definedName>
    <definedName name="HRatioNet">#REF!</definedName>
    <definedName name="HRatioOA">#REF!</definedName>
    <definedName name="HRatioOut">#REF!</definedName>
    <definedName name="HRatioRet">#REF!</definedName>
    <definedName name="HRatioRm">#REF!</definedName>
    <definedName name="HRatioSup">#REF!</definedName>
    <definedName name="LatEff">#REF!</definedName>
    <definedName name="mflow1">'Mixing'!$B$10</definedName>
    <definedName name="mflow2">'Mixing'!$F$10</definedName>
    <definedName name="mflow3">'Mixing'!$D$13</definedName>
    <definedName name="mflowHin">#REF!</definedName>
    <definedName name="mflowIn">#REF!</definedName>
    <definedName name="mflowOut">#REF!</definedName>
    <definedName name="mflowRet">#REF!</definedName>
    <definedName name="mfluid">#REF!</definedName>
    <definedName name="MotorEff">#REF!</definedName>
    <definedName name="mwater">#REF!</definedName>
    <definedName name="OAVentInfil">#REF!</definedName>
    <definedName name="OutSup">#REF!</definedName>
    <definedName name="QAairSup">#REF!</definedName>
    <definedName name="Qair1">'Mixing'!$B$6</definedName>
    <definedName name="Qair2">'Mixing'!$F$6</definedName>
    <definedName name="QairEx">#REF!</definedName>
    <definedName name="QairHin">#REF!</definedName>
    <definedName name="QairIn">#REF!</definedName>
    <definedName name="QairOut">#REF!</definedName>
    <definedName name="QairRet">#REF!</definedName>
    <definedName name="QairSup">#REF!</definedName>
    <definedName name="qFan">#REF!</definedName>
    <definedName name="qFurn">#REF!</definedName>
    <definedName name="qHumid">#REF!</definedName>
    <definedName name="QSairIn">#REF!</definedName>
    <definedName name="QSairRet">#REF!</definedName>
    <definedName name="qSenHru">#REF!</definedName>
    <definedName name="qSenNet">#REF!</definedName>
    <definedName name="qSensible">#REF!</definedName>
    <definedName name="qTotal">#REF!</definedName>
    <definedName name="qTotalHru">#REF!</definedName>
    <definedName name="qTotNet">#REF!</definedName>
    <definedName name="RelHum1">'Properties'!$AJ$14</definedName>
    <definedName name="RelHum2">'Properties'!$AJ$26</definedName>
    <definedName name="RelHumHin">#REF!</definedName>
    <definedName name="RelHumHout">#REF!</definedName>
    <definedName name="RelHumHru">#REF!</definedName>
    <definedName name="RelHumIn">#REF!</definedName>
    <definedName name="RelHumOA">#REF!</definedName>
    <definedName name="RelHumOut">#REF!</definedName>
    <definedName name="RelHumRet">#REF!</definedName>
    <definedName name="RelHumRm">#REF!</definedName>
    <definedName name="RelHumSup">#REF!</definedName>
    <definedName name="RH">'Properties'!$AJ$14</definedName>
    <definedName name="SC">#REF!</definedName>
    <definedName name="SenEff">#REF!</definedName>
    <definedName name="SHRcoil">#REF!</definedName>
    <definedName name="SHRHru">#REF!</definedName>
    <definedName name="SHRNet">#REF!</definedName>
    <definedName name="SpHt1">'Properties'!$AJ$15</definedName>
    <definedName name="SpHt2">'Properties'!$AJ$27</definedName>
    <definedName name="SpHtHin">#REF!</definedName>
    <definedName name="SpHtHout">#REF!</definedName>
    <definedName name="SpHtHru">#REF!</definedName>
    <definedName name="SpHtIn">#REF!</definedName>
    <definedName name="SpHtOA">#REF!</definedName>
    <definedName name="SpHtOut">#REF!</definedName>
    <definedName name="SpHtRet">#REF!</definedName>
    <definedName name="SpHtRm">#REF!</definedName>
    <definedName name="SpHtSup">#REF!</definedName>
    <definedName name="SpVol1">'Properties'!$AJ$17</definedName>
    <definedName name="SpVol2">'Properties'!$AJ$29</definedName>
    <definedName name="SpVol3">'Mixing'!$D$22</definedName>
    <definedName name="SpVolHin">#REF!</definedName>
    <definedName name="SpVolHout">#REF!</definedName>
    <definedName name="SpVolHru">#REF!</definedName>
    <definedName name="SpVolIn">#REF!</definedName>
    <definedName name="SpVolOA">#REF!</definedName>
    <definedName name="SpVolOut">#REF!</definedName>
    <definedName name="SpVolRet">#REF!</definedName>
    <definedName name="SpVolRm">#REF!</definedName>
    <definedName name="SpVolSup">#REF!</definedName>
    <definedName name="SupFankW">#REF!</definedName>
    <definedName name="Tadp">#REF!</definedName>
    <definedName name="TC">#REF!</definedName>
    <definedName name="Tdb1">'Properties'!$AJ$12</definedName>
    <definedName name="Tdb2">'Properties'!$AJ$24</definedName>
    <definedName name="Tdb3">'Mixing'!$D$15</definedName>
    <definedName name="TdbHin">#REF!</definedName>
    <definedName name="TdbHout">#REF!</definedName>
    <definedName name="TdbHru">#REF!</definedName>
    <definedName name="TdbHumOut">#REF!</definedName>
    <definedName name="TdbIn">#REF!</definedName>
    <definedName name="TdbNet">#REF!</definedName>
    <definedName name="TdbOut">#REF!</definedName>
    <definedName name="TdbOutAir">#REF!</definedName>
    <definedName name="TdbRet">#REF!</definedName>
    <definedName name="TdbRm">#REF!</definedName>
    <definedName name="TdbSup">#REF!</definedName>
    <definedName name="Tdrybulb">'Properties'!$AJ$12</definedName>
    <definedName name="Tdwb1">'Properties'!$AJ$13</definedName>
    <definedName name="TotalPress">#REF!</definedName>
    <definedName name="Twb1">'Properties'!$AJ$13</definedName>
    <definedName name="Twb2">'Properties'!$AJ$25</definedName>
    <definedName name="Twb3">'Mixing'!$D$18</definedName>
    <definedName name="TwbHin">#REF!</definedName>
    <definedName name="TwbHout">#REF!</definedName>
    <definedName name="TwbHru">#REF!</definedName>
    <definedName name="TwbIn">#REF!</definedName>
    <definedName name="TwbNet">#REF!</definedName>
    <definedName name="TwbOut">#REF!</definedName>
    <definedName name="TwbOutAir">#REF!</definedName>
    <definedName name="TwbRet">#REF!</definedName>
    <definedName name="TwbRm">#REF!</definedName>
    <definedName name="TwbSup">#REF!</definedName>
    <definedName name="Twetbulb">'Properties'!$AJ$13</definedName>
    <definedName name="v">'Properties'!$AJ$17</definedName>
    <definedName name="W">'Properties'!$EN$13</definedName>
    <definedName name="W1_">'Properties'!$EN$15</definedName>
    <definedName name="_xlnm.Print_Area" localSheetId="1">'Mixing'!$A$1:$M$24</definedName>
    <definedName name="_xlnm.Print_Area" localSheetId="0">'Properties'!$B$2:$CL$30</definedName>
  </definedNames>
  <calcPr fullCalcOnLoad="1"/>
</workbook>
</file>

<file path=xl/sharedStrings.xml><?xml version="1.0" encoding="utf-8"?>
<sst xmlns="http://schemas.openxmlformats.org/spreadsheetml/2006/main" count="255" uniqueCount="108">
  <si>
    <t>°F</t>
  </si>
  <si>
    <t>ft.</t>
  </si>
  <si>
    <t>lbw/lba</t>
  </si>
  <si>
    <t>psia</t>
  </si>
  <si>
    <t>in Hg</t>
  </si>
  <si>
    <t>%</t>
  </si>
  <si>
    <t>Btu/lb-°F</t>
  </si>
  <si>
    <t>Btu/lb</t>
  </si>
  <si>
    <t>cu.ft./lb</t>
  </si>
  <si>
    <t>Grains</t>
  </si>
  <si>
    <t>Tdb1</t>
  </si>
  <si>
    <t>RelHum1</t>
  </si>
  <si>
    <t>HRatio1</t>
  </si>
  <si>
    <t>SpHt1</t>
  </si>
  <si>
    <t>Enal1</t>
  </si>
  <si>
    <t>SpVol1</t>
  </si>
  <si>
    <t>DewPt1</t>
  </si>
  <si>
    <t>Twb1</t>
  </si>
  <si>
    <t>Tdb2</t>
  </si>
  <si>
    <t>Twb2</t>
  </si>
  <si>
    <t>HRatio2</t>
  </si>
  <si>
    <t>RelHum2</t>
  </si>
  <si>
    <t>SpHt2</t>
  </si>
  <si>
    <t>Enal2</t>
  </si>
  <si>
    <t>SpVol2</t>
  </si>
  <si>
    <t>DewPt2</t>
  </si>
  <si>
    <t>Qair1</t>
  </si>
  <si>
    <t>cfm</t>
  </si>
  <si>
    <t>QSair1</t>
  </si>
  <si>
    <t>scfm</t>
  </si>
  <si>
    <t>Qair2</t>
  </si>
  <si>
    <t>QSair2</t>
  </si>
  <si>
    <t>mflow1</t>
  </si>
  <si>
    <t>mflow2</t>
  </si>
  <si>
    <t>lb/hr</t>
  </si>
  <si>
    <t>mflow3</t>
  </si>
  <si>
    <t>HRatio3</t>
  </si>
  <si>
    <t>RelHum3</t>
  </si>
  <si>
    <t>Tdb3</t>
  </si>
  <si>
    <t>Twb3</t>
  </si>
  <si>
    <t>SpHt3</t>
  </si>
  <si>
    <t>Enal3</t>
  </si>
  <si>
    <t>SpVol3</t>
  </si>
  <si>
    <t>DewPt3</t>
  </si>
  <si>
    <t>lbpCuFt</t>
  </si>
  <si>
    <t>Qair3</t>
  </si>
  <si>
    <t>Stream 1</t>
  </si>
  <si>
    <t>Stream 2</t>
  </si>
  <si>
    <t>Stream 3</t>
  </si>
  <si>
    <t>(mixed)</t>
  </si>
  <si>
    <t>Bar</t>
  </si>
  <si>
    <t>lbw / lba</t>
  </si>
  <si>
    <t>Grains / lb</t>
  </si>
  <si>
    <t>% İN</t>
  </si>
  <si>
    <t>Kcal / Kg</t>
  </si>
  <si>
    <t>KURU TER.SICAKLIĞI</t>
  </si>
  <si>
    <t>YAŞ TER.SICAKLIĞI</t>
  </si>
  <si>
    <t>İZAFİ NEM</t>
  </si>
  <si>
    <t>ÖZGÜL ISI KAPASİTESİ</t>
  </si>
  <si>
    <t>ENTALPİSİ</t>
  </si>
  <si>
    <t>ÖZGÜL HACMİ</t>
  </si>
  <si>
    <t>ÇİĞ NOKTASI SICAKLIĞI</t>
  </si>
  <si>
    <t>ÖZGÜLYOĞUNLUGU</t>
  </si>
  <si>
    <t>ÖZGÜL AĞIRLIĞI</t>
  </si>
  <si>
    <t>Simge</t>
  </si>
  <si>
    <t>( MKSI )  BİRİMİ</t>
  </si>
  <si>
    <t>( BI )  BİRİMİ</t>
  </si>
  <si>
    <t>BÖLGE RAKIMI ( Elevation )</t>
  </si>
  <si>
    <t>BÖLGE Atm. BASINCI ( AtmPress )</t>
  </si>
  <si>
    <t>BÖLGE CİVA BASINCI ( APinHg )</t>
  </si>
  <si>
    <t>►</t>
  </si>
  <si>
    <r>
      <t>Kg / m</t>
    </r>
    <r>
      <rPr>
        <vertAlign val="superscript"/>
        <sz val="8"/>
        <rFont val="Arial"/>
        <family val="2"/>
      </rPr>
      <t>3</t>
    </r>
  </si>
  <si>
    <r>
      <t>Gr / m</t>
    </r>
    <r>
      <rPr>
        <vertAlign val="superscript"/>
        <sz val="8"/>
        <rFont val="Arial"/>
        <family val="2"/>
      </rPr>
      <t>3</t>
    </r>
  </si>
  <si>
    <t>1.ORTAM HAÇİMSEL DEBİSİ</t>
  </si>
  <si>
    <t>2.ORTAM HAÇİMSEL DEBİSİ</t>
  </si>
  <si>
    <t>Cfm</t>
  </si>
  <si>
    <t>KARIŞIM HAÇİMSEL DEBİSİ</t>
  </si>
  <si>
    <t>Atm =</t>
  </si>
  <si>
    <t>KARISIM HAVASI</t>
  </si>
  <si>
    <t>1. ORTAM HAVASI</t>
  </si>
  <si>
    <t>2. ORTAM HAVASI</t>
  </si>
  <si>
    <t>Karışım havası degerleri</t>
  </si>
  <si>
    <t>KARIŞIM HAVASI</t>
  </si>
  <si>
    <t>Psıkrometrisi</t>
  </si>
  <si>
    <t>BASINÇ SKALASI</t>
  </si>
  <si>
    <t>BİRGÜN GELECEK.HERKEZ FENERBAHCELİ OLACAK.</t>
  </si>
  <si>
    <t>Bu proğramın telif hakkı.Yüce TÜRK milletine aitdir. Dileyen dilediği gibi kullanabilir.</t>
  </si>
  <si>
    <t>KARIŞIM HAVASI ( Pisikrometrisi )</t>
  </si>
  <si>
    <t>HESAPLA</t>
  </si>
  <si>
    <r>
      <t xml:space="preserve">lbw / ft </t>
    </r>
    <r>
      <rPr>
        <b/>
        <vertAlign val="superscript"/>
        <sz val="8"/>
        <color indexed="41"/>
        <rFont val="Arial"/>
        <family val="2"/>
      </rPr>
      <t>3</t>
    </r>
  </si>
  <si>
    <r>
      <t xml:space="preserve">lbw / ft </t>
    </r>
    <r>
      <rPr>
        <b/>
        <vertAlign val="superscript"/>
        <sz val="8"/>
        <color indexed="42"/>
        <rFont val="Arial"/>
        <family val="2"/>
      </rPr>
      <t>3</t>
    </r>
  </si>
  <si>
    <r>
      <t xml:space="preserve">lbw / ft </t>
    </r>
    <r>
      <rPr>
        <b/>
        <vertAlign val="superscript"/>
        <sz val="8"/>
        <color indexed="13"/>
        <rFont val="Arial"/>
        <family val="2"/>
      </rPr>
      <t>3</t>
    </r>
  </si>
  <si>
    <r>
      <t>m</t>
    </r>
    <r>
      <rPr>
        <b/>
        <vertAlign val="superscript"/>
        <sz val="8"/>
        <color indexed="13"/>
        <rFont val="Arial"/>
        <family val="2"/>
      </rPr>
      <t>3</t>
    </r>
    <r>
      <rPr>
        <b/>
        <sz val="8"/>
        <color indexed="13"/>
        <rFont val="Arial"/>
        <family val="2"/>
      </rPr>
      <t xml:space="preserve"> / h</t>
    </r>
  </si>
  <si>
    <r>
      <t>0</t>
    </r>
    <r>
      <rPr>
        <b/>
        <sz val="8"/>
        <color indexed="13"/>
        <rFont val="Arial"/>
        <family val="2"/>
      </rPr>
      <t>C</t>
    </r>
  </si>
  <si>
    <r>
      <t>Kj / kg</t>
    </r>
    <r>
      <rPr>
        <b/>
        <vertAlign val="superscript"/>
        <sz val="8"/>
        <color indexed="13"/>
        <rFont val="Arial"/>
        <family val="2"/>
      </rPr>
      <t>0</t>
    </r>
    <r>
      <rPr>
        <b/>
        <sz val="8"/>
        <color indexed="13"/>
        <rFont val="Arial"/>
        <family val="2"/>
      </rPr>
      <t>C</t>
    </r>
  </si>
  <si>
    <r>
      <t>m</t>
    </r>
    <r>
      <rPr>
        <b/>
        <vertAlign val="superscript"/>
        <sz val="8"/>
        <color indexed="13"/>
        <rFont val="Arial"/>
        <family val="2"/>
      </rPr>
      <t>3</t>
    </r>
    <r>
      <rPr>
        <b/>
        <sz val="8"/>
        <color indexed="13"/>
        <rFont val="Arial"/>
        <family val="2"/>
      </rPr>
      <t xml:space="preserve"> / Kg</t>
    </r>
  </si>
  <si>
    <r>
      <t>Kg / m</t>
    </r>
    <r>
      <rPr>
        <b/>
        <vertAlign val="superscript"/>
        <sz val="8"/>
        <color indexed="13"/>
        <rFont val="Arial"/>
        <family val="2"/>
      </rPr>
      <t>3</t>
    </r>
  </si>
  <si>
    <r>
      <t>Kj / kg</t>
    </r>
    <r>
      <rPr>
        <b/>
        <vertAlign val="superscript"/>
        <sz val="8"/>
        <color indexed="42"/>
        <rFont val="Arial"/>
        <family val="2"/>
      </rPr>
      <t>0</t>
    </r>
    <r>
      <rPr>
        <b/>
        <sz val="8"/>
        <color indexed="42"/>
        <rFont val="Arial"/>
        <family val="2"/>
      </rPr>
      <t>C</t>
    </r>
  </si>
  <si>
    <r>
      <t>m</t>
    </r>
    <r>
      <rPr>
        <b/>
        <vertAlign val="superscript"/>
        <sz val="8"/>
        <color indexed="42"/>
        <rFont val="Arial"/>
        <family val="2"/>
      </rPr>
      <t>3</t>
    </r>
    <r>
      <rPr>
        <b/>
        <sz val="8"/>
        <color indexed="42"/>
        <rFont val="Arial"/>
        <family val="2"/>
      </rPr>
      <t xml:space="preserve"> / Kg</t>
    </r>
  </si>
  <si>
    <r>
      <t>0</t>
    </r>
    <r>
      <rPr>
        <b/>
        <sz val="8"/>
        <color indexed="42"/>
        <rFont val="Arial"/>
        <family val="2"/>
      </rPr>
      <t>C</t>
    </r>
  </si>
  <si>
    <r>
      <t>Kg / m</t>
    </r>
    <r>
      <rPr>
        <b/>
        <vertAlign val="superscript"/>
        <sz val="8"/>
        <color indexed="42"/>
        <rFont val="Arial"/>
        <family val="2"/>
      </rPr>
      <t>3</t>
    </r>
  </si>
  <si>
    <r>
      <t>Kj / kg</t>
    </r>
    <r>
      <rPr>
        <b/>
        <vertAlign val="superscript"/>
        <sz val="8"/>
        <color indexed="41"/>
        <rFont val="Arial"/>
        <family val="2"/>
      </rPr>
      <t>0</t>
    </r>
    <r>
      <rPr>
        <b/>
        <sz val="8"/>
        <color indexed="41"/>
        <rFont val="Arial"/>
        <family val="2"/>
      </rPr>
      <t>C</t>
    </r>
  </si>
  <si>
    <r>
      <t>m</t>
    </r>
    <r>
      <rPr>
        <b/>
        <vertAlign val="superscript"/>
        <sz val="8"/>
        <color indexed="41"/>
        <rFont val="Arial"/>
        <family val="2"/>
      </rPr>
      <t>3</t>
    </r>
    <r>
      <rPr>
        <b/>
        <sz val="8"/>
        <color indexed="41"/>
        <rFont val="Arial"/>
        <family val="2"/>
      </rPr>
      <t xml:space="preserve"> / Kg</t>
    </r>
  </si>
  <si>
    <r>
      <t>0</t>
    </r>
    <r>
      <rPr>
        <b/>
        <sz val="8"/>
        <color indexed="41"/>
        <rFont val="Arial"/>
        <family val="2"/>
      </rPr>
      <t>C</t>
    </r>
  </si>
  <si>
    <r>
      <t>Kg / m</t>
    </r>
    <r>
      <rPr>
        <b/>
        <vertAlign val="superscript"/>
        <sz val="8"/>
        <color indexed="41"/>
        <rFont val="Arial"/>
        <family val="2"/>
      </rPr>
      <t>3</t>
    </r>
  </si>
  <si>
    <r>
      <t>m</t>
    </r>
    <r>
      <rPr>
        <b/>
        <vertAlign val="super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/ h</t>
    </r>
  </si>
  <si>
    <t>mm Hg</t>
  </si>
  <si>
    <t xml:space="preserve">mm Hg  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</si>
</sst>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"/>
    <numFmt numFmtId="170" formatCode="0.000"/>
    <numFmt numFmtId="171" formatCode="0.00000"/>
    <numFmt numFmtId="172" formatCode="0&quot; Santigırat&quot;"/>
    <numFmt numFmtId="173" formatCode="0&quot; Metre&quot;"/>
    <numFmt numFmtId="174" formatCode="_([$€]* #,##0.00_);_([$€]* \(#,##0.00\);_([$€]* &quot;-&quot;??_);_(@_)"/>
    <numFmt numFmtId="175" formatCode="&quot;Enal3=&quot;0.00"/>
    <numFmt numFmtId="176" formatCode="&quot;Enal2=&quot;0.00"/>
    <numFmt numFmtId="177" formatCode="&quot;Enal1=&quot;0.00"/>
    <numFmt numFmtId="178" formatCode="&quot;%&quot;0"/>
    <numFmt numFmtId="179" formatCode="&quot;Dewpt=&quot;0.00"/>
    <numFmt numFmtId="180" formatCode="&quot;SpVol3=&quot;0.0000"/>
    <numFmt numFmtId="181" formatCode="&quot;SpVol3= &quot;0.0000"/>
    <numFmt numFmtId="182" formatCode="&quot;Qair 1 =&quot;0&quot;m3/h&quot;"/>
    <numFmt numFmtId="183" formatCode="&quot;Qair 2 = &quot;0&quot; m3/h&quot;"/>
    <numFmt numFmtId="184" formatCode="&quot;Qair 1 = &quot;0&quot; m3/h&quot;"/>
    <numFmt numFmtId="185" formatCode="&quot;Qair3 = &quot;0&quot; m3/h&quot;"/>
    <numFmt numFmtId="186" formatCode="&quot;Tdb3 = &quot;0.00&quot; derece&quot;"/>
    <numFmt numFmtId="187" formatCode="&quot;Twb3 = &quot;0.00&quot; derece&quot;"/>
    <numFmt numFmtId="188" formatCode="&quot;DewPt3  = &quot;0.00&quot; derece&quot;"/>
    <numFmt numFmtId="189" formatCode="&quot;Enal3  = &quot;0.00&quot; Kcal/kg&quot;"/>
    <numFmt numFmtId="190" formatCode="0.00&quot; bar&quot;"/>
    <numFmt numFmtId="191" formatCode="&quot;= &quot;0&quot; Cfm&quot;"/>
    <numFmt numFmtId="192" formatCode="0&quot; Metre için hazırlanmıştır&quot;"/>
    <numFmt numFmtId="193" formatCode="&quot;İzafi nem  = &quot;0.00&quot; %&quot;"/>
    <numFmt numFmtId="194" formatCode="&quot;Kuru Ter.Sıc. = &quot;0.00&quot; derece&quot;"/>
    <numFmt numFmtId="195" formatCode="&quot;YaşTer.Sıc. = &quot;0.00&quot; derece&quot;"/>
    <numFmt numFmtId="196" formatCode="&quot;Ciğ.NokSıc.  = &quot;0.00&quot; derece&quot;"/>
    <numFmt numFmtId="197" formatCode="&quot;Ciğ.Nok.Sıc.  = &quot;0.00&quot; derece&quot;"/>
    <numFmt numFmtId="198" formatCode="&quot;Entalpi  = &quot;0.00&quot; Kcal/kg&quot;"/>
    <numFmt numFmtId="199" formatCode="&quot;Özgül hacim  = &quot;0.00&quot; m3/Kg&quot;"/>
    <numFmt numFmtId="200" formatCode="&quot;Özgül hacim  = &quot;0.0000&quot; m3/Kg&quot;"/>
    <numFmt numFmtId="201" formatCode="&quot;Özgül Yoğunluk  = &quot;0.0000&quot; Kg/m3&quot;"/>
    <numFmt numFmtId="202" formatCode="&quot;Özgül Yoğunluk  = &quot;0.00&quot; Kg/m3&quot;"/>
    <numFmt numFmtId="203" formatCode="&quot;Özgül Yoğ.  = &quot;0.000&quot; Kg/m3&quot;"/>
    <numFmt numFmtId="204" formatCode="&quot;Özgül Yoğ.  = &quot;0.00000&quot; Kg/m3&quot;"/>
    <numFmt numFmtId="205" formatCode="&quot;Hacimsel debi = &quot;0.00&quot; m3/h&quot;"/>
    <numFmt numFmtId="206" formatCode="&quot;Hacimsel debi = &quot;0&quot; m3/h&quot;"/>
    <numFmt numFmtId="207" formatCode="&quot;Hacimsel debi = &quot;0.00&quot; Cfm&quot;"/>
    <numFmt numFmtId="208" formatCode="&quot;Hacimsel debi = &quot;0&quot; Cfm&quot;"/>
    <numFmt numFmtId="209" formatCode="&quot;%&quot;0.00"/>
    <numFmt numFmtId="210" formatCode="&quot;Yaş. Ter. Sıc.  = &quot;0.00&quot; derece&quot;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12"/>
      <name val="Arial"/>
      <family val="2"/>
    </font>
    <font>
      <b/>
      <sz val="8"/>
      <color indexed="10"/>
      <name val="Arial Narrow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 Narrow"/>
      <family val="2"/>
    </font>
    <font>
      <sz val="10"/>
      <color indexed="12"/>
      <name val="Bernard MT Condensed"/>
      <family val="1"/>
    </font>
    <font>
      <sz val="8"/>
      <color indexed="12"/>
      <name val="Bernard MT Condensed"/>
      <family val="1"/>
    </font>
    <font>
      <b/>
      <sz val="8"/>
      <color indexed="10"/>
      <name val="Arial"/>
      <family val="2"/>
    </font>
    <font>
      <b/>
      <sz val="9"/>
      <color indexed="10"/>
      <name val="Agency FB"/>
      <family val="2"/>
    </font>
    <font>
      <b/>
      <sz val="14"/>
      <color indexed="9"/>
      <name val="Arial"/>
      <family val="2"/>
    </font>
    <font>
      <sz val="8"/>
      <color indexed="55"/>
      <name val="Arial"/>
      <family val="2"/>
    </font>
    <font>
      <sz val="8"/>
      <color indexed="9"/>
      <name val="Arial Black"/>
      <family val="2"/>
    </font>
    <font>
      <b/>
      <sz val="12"/>
      <color indexed="9"/>
      <name val="Arial"/>
      <family val="2"/>
    </font>
    <font>
      <b/>
      <sz val="8"/>
      <color indexed="42"/>
      <name val="Arial"/>
      <family val="2"/>
    </font>
    <font>
      <b/>
      <sz val="9"/>
      <color indexed="42"/>
      <name val="Arial"/>
      <family val="2"/>
    </font>
    <font>
      <b/>
      <sz val="9"/>
      <color indexed="41"/>
      <name val="Arial"/>
      <family val="2"/>
    </font>
    <font>
      <b/>
      <sz val="8"/>
      <color indexed="41"/>
      <name val="Arial"/>
      <family val="2"/>
    </font>
    <font>
      <b/>
      <vertAlign val="superscript"/>
      <sz val="8"/>
      <color indexed="41"/>
      <name val="Arial"/>
      <family val="2"/>
    </font>
    <font>
      <b/>
      <vertAlign val="superscript"/>
      <sz val="8"/>
      <color indexed="42"/>
      <name val="Arial"/>
      <family val="2"/>
    </font>
    <font>
      <sz val="8"/>
      <color indexed="13"/>
      <name val="Arial"/>
      <family val="2"/>
    </font>
    <font>
      <b/>
      <sz val="9"/>
      <color indexed="13"/>
      <name val="Arial Narrow"/>
      <family val="2"/>
    </font>
    <font>
      <sz val="8"/>
      <color indexed="42"/>
      <name val="Arial"/>
      <family val="2"/>
    </font>
    <font>
      <b/>
      <sz val="6"/>
      <color indexed="41"/>
      <name val="Arial"/>
      <family val="2"/>
    </font>
    <font>
      <sz val="8"/>
      <color indexed="41"/>
      <name val="Arial"/>
      <family val="2"/>
    </font>
    <font>
      <b/>
      <sz val="9"/>
      <color indexed="13"/>
      <name val="Arial"/>
      <family val="2"/>
    </font>
    <font>
      <b/>
      <sz val="8"/>
      <color indexed="13"/>
      <name val="Arial"/>
      <family val="2"/>
    </font>
    <font>
      <b/>
      <sz val="6"/>
      <color indexed="13"/>
      <name val="Arial"/>
      <family val="2"/>
    </font>
    <font>
      <b/>
      <vertAlign val="superscript"/>
      <sz val="8"/>
      <color indexed="13"/>
      <name val="Arial"/>
      <family val="2"/>
    </font>
    <font>
      <b/>
      <vertAlign val="superscript"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0"/>
      <name val="Arial"/>
      <family val="2"/>
    </font>
    <font>
      <sz val="20"/>
      <color indexed="13"/>
      <name val="Bodoni MT Poster Compressed"/>
      <family val="1"/>
    </font>
    <font>
      <b/>
      <sz val="9"/>
      <color indexed="17"/>
      <name val="Arial"/>
      <family val="2"/>
    </font>
    <font>
      <sz val="7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ed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 style="medium"/>
      <top style="dashed"/>
      <bottom style="hair"/>
    </border>
    <border>
      <left style="dashed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hair"/>
      <top style="mediumDashed">
        <color indexed="38"/>
      </top>
      <bottom style="hair"/>
    </border>
    <border>
      <left style="hair"/>
      <right style="mediumDashed">
        <color indexed="38"/>
      </right>
      <top style="mediumDashed">
        <color indexed="38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Dashed">
        <color indexed="3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Dashed">
        <color indexed="38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>
        <color indexed="63"/>
      </right>
      <top style="dashed"/>
      <bottom style="hair"/>
    </border>
    <border>
      <left style="hair"/>
      <right style="mediumDashed">
        <color indexed="38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ashed"/>
      <right style="hair"/>
      <top style="hair"/>
      <bottom style="medium"/>
    </border>
    <border>
      <left style="hair"/>
      <right style="mediumDashed">
        <color indexed="38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23"/>
      </top>
      <bottom style="medium">
        <color indexed="9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55"/>
      </left>
      <right>
        <color indexed="63"/>
      </right>
      <top style="medium">
        <color indexed="55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23"/>
      </bottom>
    </border>
    <border>
      <left>
        <color indexed="63"/>
      </left>
      <right style="thick">
        <color indexed="23"/>
      </right>
      <top style="medium">
        <color indexed="55"/>
      </top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23"/>
      </top>
      <bottom style="thin">
        <color indexed="9"/>
      </bottom>
    </border>
    <border>
      <left style="medium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medium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9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23"/>
      </top>
      <bottom style="double">
        <color indexed="9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9"/>
      </right>
      <top style="double">
        <color indexed="23"/>
      </top>
      <bottom style="double">
        <color indexed="23"/>
      </bottom>
    </border>
    <border>
      <left style="medium">
        <color indexed="23"/>
      </left>
      <right>
        <color indexed="63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9"/>
      </bottom>
    </border>
    <border>
      <left style="medium">
        <color indexed="9"/>
      </left>
      <right style="double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double">
        <color indexed="9"/>
      </left>
      <right style="double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8" fontId="0" fillId="3" borderId="1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170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" fontId="0" fillId="0" borderId="0" xfId="0" applyNumberFormat="1" applyAlignment="1">
      <alignment/>
    </xf>
    <xf numFmtId="1" fontId="0" fillId="3" borderId="1" xfId="0" applyNumberFormat="1" applyFill="1" applyBorder="1" applyAlignment="1">
      <alignment/>
    </xf>
    <xf numFmtId="0" fontId="3" fillId="0" borderId="0" xfId="0" applyFont="1" applyAlignment="1">
      <alignment/>
    </xf>
    <xf numFmtId="1" fontId="0" fillId="4" borderId="1" xfId="0" applyNumberFormat="1" applyFill="1" applyBorder="1" applyAlignment="1">
      <alignment/>
    </xf>
    <xf numFmtId="0" fontId="4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2" fontId="4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5" borderId="0" xfId="0" applyFont="1" applyFill="1" applyAlignment="1">
      <alignment/>
    </xf>
    <xf numFmtId="0" fontId="4" fillId="0" borderId="0" xfId="0" applyFont="1" applyAlignment="1">
      <alignment/>
    </xf>
    <xf numFmtId="0" fontId="7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vertical="center"/>
    </xf>
    <xf numFmtId="2" fontId="4" fillId="5" borderId="0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right" vertical="center"/>
    </xf>
    <xf numFmtId="2" fontId="4" fillId="5" borderId="6" xfId="0" applyNumberFormat="1" applyFont="1" applyFill="1" applyBorder="1" applyAlignment="1">
      <alignment horizontal="right" vertical="center"/>
    </xf>
    <xf numFmtId="2" fontId="4" fillId="5" borderId="6" xfId="0" applyNumberFormat="1" applyFont="1" applyFill="1" applyBorder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171" fontId="4" fillId="5" borderId="0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8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171" fontId="4" fillId="5" borderId="6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vertical="center"/>
    </xf>
    <xf numFmtId="0" fontId="4" fillId="5" borderId="3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6" borderId="0" xfId="0" applyFill="1" applyAlignment="1">
      <alignment/>
    </xf>
    <xf numFmtId="169" fontId="0" fillId="6" borderId="0" xfId="0" applyNumberFormat="1" applyFill="1" applyAlignment="1">
      <alignment/>
    </xf>
    <xf numFmtId="0" fontId="9" fillId="5" borderId="6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15" fillId="5" borderId="9" xfId="0" applyFont="1" applyFill="1" applyBorder="1" applyAlignment="1">
      <alignment horizontal="center"/>
    </xf>
    <xf numFmtId="2" fontId="16" fillId="5" borderId="9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180" fontId="4" fillId="5" borderId="0" xfId="0" applyNumberFormat="1" applyFont="1" applyFill="1" applyBorder="1" applyAlignment="1">
      <alignment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5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0" fontId="4" fillId="5" borderId="18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18" fillId="5" borderId="0" xfId="0" applyFont="1" applyFill="1" applyBorder="1" applyAlignment="1">
      <alignment vertical="top"/>
    </xf>
    <xf numFmtId="0" fontId="4" fillId="5" borderId="26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18" fillId="5" borderId="11" xfId="0" applyFont="1" applyFill="1" applyBorder="1" applyAlignment="1">
      <alignment vertical="top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4" fillId="5" borderId="34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5" borderId="36" xfId="0" applyFont="1" applyFill="1" applyBorder="1" applyAlignment="1">
      <alignment vertical="center"/>
    </xf>
    <xf numFmtId="0" fontId="4" fillId="5" borderId="37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4" fillId="5" borderId="39" xfId="0" applyFont="1" applyFill="1" applyBorder="1" applyAlignment="1">
      <alignment vertical="center"/>
    </xf>
    <xf numFmtId="0" fontId="4" fillId="5" borderId="40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9" fillId="5" borderId="42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4" fillId="5" borderId="43" xfId="0" applyFont="1" applyFill="1" applyBorder="1" applyAlignment="1">
      <alignment vertical="center"/>
    </xf>
    <xf numFmtId="0" fontId="18" fillId="5" borderId="43" xfId="0" applyFont="1" applyFill="1" applyBorder="1" applyAlignment="1">
      <alignment vertical="top"/>
    </xf>
    <xf numFmtId="0" fontId="4" fillId="5" borderId="44" xfId="0" applyFont="1" applyFill="1" applyBorder="1" applyAlignment="1">
      <alignment vertical="center"/>
    </xf>
    <xf numFmtId="0" fontId="4" fillId="5" borderId="45" xfId="0" applyFont="1" applyFill="1" applyBorder="1" applyAlignment="1">
      <alignment vertical="center"/>
    </xf>
    <xf numFmtId="0" fontId="9" fillId="5" borderId="46" xfId="0" applyFont="1" applyFill="1" applyBorder="1" applyAlignment="1">
      <alignment vertical="center"/>
    </xf>
    <xf numFmtId="0" fontId="4" fillId="5" borderId="47" xfId="0" applyFont="1" applyFill="1" applyBorder="1" applyAlignment="1">
      <alignment vertical="center"/>
    </xf>
    <xf numFmtId="0" fontId="4" fillId="5" borderId="48" xfId="0" applyFont="1" applyFill="1" applyBorder="1" applyAlignment="1">
      <alignment vertical="center"/>
    </xf>
    <xf numFmtId="0" fontId="4" fillId="5" borderId="49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50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4" fillId="5" borderId="52" xfId="0" applyFont="1" applyFill="1" applyBorder="1" applyAlignment="1">
      <alignment vertical="center"/>
    </xf>
    <xf numFmtId="0" fontId="18" fillId="5" borderId="44" xfId="0" applyFont="1" applyFill="1" applyBorder="1" applyAlignment="1">
      <alignment vertical="top"/>
    </xf>
    <xf numFmtId="0" fontId="4" fillId="5" borderId="53" xfId="0" applyFont="1" applyFill="1" applyBorder="1" applyAlignment="1">
      <alignment vertical="center"/>
    </xf>
    <xf numFmtId="0" fontId="4" fillId="5" borderId="54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32" fillId="5" borderId="55" xfId="0" applyFont="1" applyFill="1" applyBorder="1" applyAlignment="1">
      <alignment vertical="center"/>
    </xf>
    <xf numFmtId="0" fontId="32" fillId="5" borderId="55" xfId="0" applyFont="1" applyFill="1" applyBorder="1" applyAlignment="1">
      <alignment/>
    </xf>
    <xf numFmtId="0" fontId="32" fillId="5" borderId="53" xfId="0" applyFont="1" applyFill="1" applyBorder="1" applyAlignment="1">
      <alignment vertical="center"/>
    </xf>
    <xf numFmtId="2" fontId="34" fillId="5" borderId="9" xfId="0" applyNumberFormat="1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/>
    </xf>
    <xf numFmtId="2" fontId="36" fillId="5" borderId="9" xfId="0" applyNumberFormat="1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/>
    </xf>
    <xf numFmtId="2" fontId="32" fillId="5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vertical="top"/>
    </xf>
    <xf numFmtId="0" fontId="46" fillId="5" borderId="0" xfId="0" applyFont="1" applyFill="1" applyAlignment="1">
      <alignment vertical="top"/>
    </xf>
    <xf numFmtId="2" fontId="38" fillId="5" borderId="0" xfId="0" applyNumberFormat="1" applyFont="1" applyFill="1" applyBorder="1" applyAlignment="1">
      <alignment horizontal="center"/>
    </xf>
    <xf numFmtId="2" fontId="38" fillId="5" borderId="6" xfId="0" applyNumberFormat="1" applyFont="1" applyFill="1" applyBorder="1" applyAlignment="1">
      <alignment horizontal="center"/>
    </xf>
    <xf numFmtId="185" fontId="42" fillId="6" borderId="0" xfId="0" applyNumberFormat="1" applyFont="1" applyFill="1" applyBorder="1" applyAlignment="1">
      <alignment horizontal="left" vertical="center"/>
    </xf>
    <xf numFmtId="184" fontId="42" fillId="6" borderId="0" xfId="0" applyNumberFormat="1" applyFont="1" applyFill="1" applyBorder="1" applyAlignment="1">
      <alignment horizontal="center" vertical="center"/>
    </xf>
    <xf numFmtId="2" fontId="38" fillId="5" borderId="56" xfId="0" applyNumberFormat="1" applyFont="1" applyFill="1" applyBorder="1" applyAlignment="1">
      <alignment horizontal="right" vertical="center"/>
    </xf>
    <xf numFmtId="2" fontId="38" fillId="5" borderId="57" xfId="0" applyNumberFormat="1" applyFont="1" applyFill="1" applyBorder="1" applyAlignment="1">
      <alignment horizontal="right" vertical="center"/>
    </xf>
    <xf numFmtId="2" fontId="40" fillId="5" borderId="57" xfId="0" applyNumberFormat="1" applyFont="1" applyFill="1" applyBorder="1" applyAlignment="1">
      <alignment horizontal="left" vertical="center"/>
    </xf>
    <xf numFmtId="2" fontId="40" fillId="5" borderId="58" xfId="0" applyNumberFormat="1" applyFont="1" applyFill="1" applyBorder="1" applyAlignment="1">
      <alignment horizontal="left" vertical="center"/>
    </xf>
    <xf numFmtId="0" fontId="22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/>
    </xf>
    <xf numFmtId="0" fontId="38" fillId="5" borderId="59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59" xfId="0" applyFont="1" applyFill="1" applyBorder="1" applyAlignment="1">
      <alignment horizontal="center"/>
    </xf>
    <xf numFmtId="0" fontId="45" fillId="8" borderId="60" xfId="0" applyFont="1" applyFill="1" applyBorder="1" applyAlignment="1">
      <alignment horizontal="center"/>
    </xf>
    <xf numFmtId="0" fontId="45" fillId="8" borderId="61" xfId="0" applyFont="1" applyFill="1" applyBorder="1" applyAlignment="1">
      <alignment horizontal="center"/>
    </xf>
    <xf numFmtId="0" fontId="45" fillId="8" borderId="62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right"/>
    </xf>
    <xf numFmtId="0" fontId="14" fillId="5" borderId="9" xfId="0" applyFont="1" applyFill="1" applyBorder="1" applyAlignment="1">
      <alignment horizontal="center"/>
    </xf>
    <xf numFmtId="2" fontId="9" fillId="5" borderId="42" xfId="0" applyNumberFormat="1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right" vertical="center"/>
    </xf>
    <xf numFmtId="2" fontId="17" fillId="5" borderId="42" xfId="0" applyNumberFormat="1" applyFont="1" applyFill="1" applyBorder="1" applyAlignment="1">
      <alignment horizontal="left" vertical="center"/>
    </xf>
    <xf numFmtId="0" fontId="17" fillId="5" borderId="42" xfId="0" applyFont="1" applyFill="1" applyBorder="1" applyAlignment="1">
      <alignment horizontal="right" vertical="center"/>
    </xf>
    <xf numFmtId="170" fontId="38" fillId="5" borderId="56" xfId="0" applyNumberFormat="1" applyFont="1" applyFill="1" applyBorder="1" applyAlignment="1">
      <alignment horizontal="right"/>
    </xf>
    <xf numFmtId="170" fontId="38" fillId="5" borderId="57" xfId="0" applyNumberFormat="1" applyFont="1" applyFill="1" applyBorder="1" applyAlignment="1">
      <alignment horizontal="right"/>
    </xf>
    <xf numFmtId="169" fontId="38" fillId="5" borderId="56" xfId="0" applyNumberFormat="1" applyFont="1" applyFill="1" applyBorder="1" applyAlignment="1">
      <alignment horizontal="right"/>
    </xf>
    <xf numFmtId="169" fontId="38" fillId="5" borderId="57" xfId="0" applyNumberFormat="1" applyFont="1" applyFill="1" applyBorder="1" applyAlignment="1">
      <alignment horizontal="right"/>
    </xf>
    <xf numFmtId="2" fontId="38" fillId="5" borderId="57" xfId="0" applyNumberFormat="1" applyFont="1" applyFill="1" applyBorder="1" applyAlignment="1">
      <alignment horizontal="left" vertical="center"/>
    </xf>
    <xf numFmtId="2" fontId="38" fillId="5" borderId="58" xfId="0" applyNumberFormat="1" applyFont="1" applyFill="1" applyBorder="1" applyAlignment="1">
      <alignment horizontal="left" vertical="center"/>
    </xf>
    <xf numFmtId="1" fontId="38" fillId="5" borderId="63" xfId="0" applyNumberFormat="1" applyFont="1" applyFill="1" applyBorder="1" applyAlignment="1">
      <alignment horizontal="right"/>
    </xf>
    <xf numFmtId="1" fontId="38" fillId="5" borderId="64" xfId="0" applyNumberFormat="1" applyFont="1" applyFill="1" applyBorder="1" applyAlignment="1">
      <alignment horizontal="right"/>
    </xf>
    <xf numFmtId="2" fontId="38" fillId="5" borderId="56" xfId="0" applyNumberFormat="1" applyFont="1" applyFill="1" applyBorder="1" applyAlignment="1">
      <alignment horizontal="right"/>
    </xf>
    <xf numFmtId="2" fontId="38" fillId="5" borderId="57" xfId="0" applyNumberFormat="1" applyFont="1" applyFill="1" applyBorder="1" applyAlignment="1">
      <alignment horizontal="right"/>
    </xf>
    <xf numFmtId="2" fontId="19" fillId="5" borderId="0" xfId="0" applyNumberFormat="1" applyFont="1" applyFill="1" applyBorder="1" applyAlignment="1">
      <alignment horizontal="center" vertical="top"/>
    </xf>
    <xf numFmtId="2" fontId="19" fillId="5" borderId="44" xfId="0" applyNumberFormat="1" applyFont="1" applyFill="1" applyBorder="1" applyAlignment="1">
      <alignment horizontal="center" vertical="top"/>
    </xf>
    <xf numFmtId="0" fontId="21" fillId="5" borderId="0" xfId="0" applyFont="1" applyFill="1" applyBorder="1" applyAlignment="1">
      <alignment horizontal="right" vertical="center"/>
    </xf>
    <xf numFmtId="0" fontId="21" fillId="5" borderId="44" xfId="0" applyFont="1" applyFill="1" applyBorder="1" applyAlignment="1">
      <alignment horizontal="right" vertical="center"/>
    </xf>
    <xf numFmtId="0" fontId="38" fillId="5" borderId="57" xfId="0" applyFont="1" applyFill="1" applyBorder="1" applyAlignment="1">
      <alignment horizontal="right" vertical="center"/>
    </xf>
    <xf numFmtId="0" fontId="38" fillId="5" borderId="65" xfId="0" applyFont="1" applyFill="1" applyBorder="1" applyAlignment="1">
      <alignment horizontal="right" vertical="center"/>
    </xf>
    <xf numFmtId="1" fontId="46" fillId="5" borderId="0" xfId="0" applyNumberFormat="1" applyFont="1" applyFill="1" applyBorder="1" applyAlignment="1">
      <alignment horizontal="right" vertical="top"/>
    </xf>
    <xf numFmtId="2" fontId="46" fillId="5" borderId="0" xfId="0" applyNumberFormat="1" applyFont="1" applyFill="1" applyBorder="1" applyAlignment="1">
      <alignment horizontal="left" vertical="top"/>
    </xf>
    <xf numFmtId="183" fontId="42" fillId="6" borderId="0" xfId="0" applyNumberFormat="1" applyFont="1" applyFill="1" applyBorder="1" applyAlignment="1">
      <alignment horizontal="center" vertical="center"/>
    </xf>
    <xf numFmtId="0" fontId="38" fillId="5" borderId="66" xfId="0" applyFont="1" applyFill="1" applyBorder="1" applyAlignment="1">
      <alignment horizontal="right" vertical="center"/>
    </xf>
    <xf numFmtId="2" fontId="13" fillId="5" borderId="64" xfId="0" applyNumberFormat="1" applyFont="1" applyFill="1" applyBorder="1" applyAlignment="1">
      <alignment horizontal="left" vertical="center"/>
    </xf>
    <xf numFmtId="2" fontId="13" fillId="5" borderId="67" xfId="0" applyNumberFormat="1" applyFont="1" applyFill="1" applyBorder="1" applyAlignment="1">
      <alignment horizontal="left" vertical="center"/>
    </xf>
    <xf numFmtId="171" fontId="38" fillId="5" borderId="68" xfId="0" applyNumberFormat="1" applyFont="1" applyFill="1" applyBorder="1" applyAlignment="1">
      <alignment horizontal="right" vertical="center"/>
    </xf>
    <xf numFmtId="171" fontId="38" fillId="5" borderId="69" xfId="0" applyNumberFormat="1" applyFont="1" applyFill="1" applyBorder="1" applyAlignment="1">
      <alignment horizontal="right" vertical="center"/>
    </xf>
    <xf numFmtId="168" fontId="38" fillId="5" borderId="56" xfId="0" applyNumberFormat="1" applyFont="1" applyFill="1" applyBorder="1" applyAlignment="1">
      <alignment horizontal="right" vertical="center"/>
    </xf>
    <xf numFmtId="168" fontId="38" fillId="5" borderId="57" xfId="0" applyNumberFormat="1" applyFont="1" applyFill="1" applyBorder="1" applyAlignment="1">
      <alignment horizontal="right" vertical="center"/>
    </xf>
    <xf numFmtId="0" fontId="38" fillId="5" borderId="70" xfId="0" applyFont="1" applyFill="1" applyBorder="1" applyAlignment="1">
      <alignment horizontal="right" vertical="center"/>
    </xf>
    <xf numFmtId="0" fontId="38" fillId="5" borderId="69" xfId="0" applyFont="1" applyFill="1" applyBorder="1" applyAlignment="1">
      <alignment horizontal="right" vertical="center"/>
    </xf>
    <xf numFmtId="2" fontId="26" fillId="5" borderId="71" xfId="0" applyNumberFormat="1" applyFont="1" applyFill="1" applyBorder="1" applyAlignment="1">
      <alignment horizontal="left" vertical="center"/>
    </xf>
    <xf numFmtId="2" fontId="26" fillId="5" borderId="72" xfId="0" applyNumberFormat="1" applyFont="1" applyFill="1" applyBorder="1" applyAlignment="1">
      <alignment horizontal="left" vertical="center"/>
    </xf>
    <xf numFmtId="2" fontId="26" fillId="5" borderId="57" xfId="0" applyNumberFormat="1" applyFont="1" applyFill="1" applyBorder="1" applyAlignment="1">
      <alignment horizontal="left" vertical="center"/>
    </xf>
    <xf numFmtId="2" fontId="26" fillId="5" borderId="58" xfId="0" applyNumberFormat="1" applyFont="1" applyFill="1" applyBorder="1" applyAlignment="1">
      <alignment horizontal="left" vertical="center"/>
    </xf>
    <xf numFmtId="2" fontId="14" fillId="5" borderId="71" xfId="0" applyNumberFormat="1" applyFont="1" applyFill="1" applyBorder="1" applyAlignment="1">
      <alignment horizontal="left" vertical="center"/>
    </xf>
    <xf numFmtId="2" fontId="14" fillId="5" borderId="72" xfId="0" applyNumberFormat="1" applyFont="1" applyFill="1" applyBorder="1" applyAlignment="1">
      <alignment horizontal="left" vertical="center"/>
    </xf>
    <xf numFmtId="2" fontId="14" fillId="5" borderId="57" xfId="0" applyNumberFormat="1" applyFont="1" applyFill="1" applyBorder="1" applyAlignment="1">
      <alignment horizontal="left" vertical="center"/>
    </xf>
    <xf numFmtId="2" fontId="14" fillId="5" borderId="58" xfId="0" applyNumberFormat="1" applyFont="1" applyFill="1" applyBorder="1" applyAlignment="1">
      <alignment horizontal="left" vertical="center"/>
    </xf>
    <xf numFmtId="2" fontId="26" fillId="5" borderId="56" xfId="0" applyNumberFormat="1" applyFont="1" applyFill="1" applyBorder="1" applyAlignment="1">
      <alignment horizontal="right" vertical="center"/>
    </xf>
    <xf numFmtId="2" fontId="26" fillId="5" borderId="57" xfId="0" applyNumberFormat="1" applyFont="1" applyFill="1" applyBorder="1" applyAlignment="1">
      <alignment horizontal="right" vertical="center"/>
    </xf>
    <xf numFmtId="168" fontId="26" fillId="5" borderId="56" xfId="0" applyNumberFormat="1" applyFont="1" applyFill="1" applyBorder="1" applyAlignment="1">
      <alignment horizontal="right" vertical="center"/>
    </xf>
    <xf numFmtId="168" fontId="26" fillId="5" borderId="57" xfId="0" applyNumberFormat="1" applyFont="1" applyFill="1" applyBorder="1" applyAlignment="1">
      <alignment horizontal="right" vertical="center"/>
    </xf>
    <xf numFmtId="0" fontId="14" fillId="5" borderId="73" xfId="0" applyFont="1" applyFill="1" applyBorder="1" applyAlignment="1">
      <alignment horizontal="right" vertical="center"/>
    </xf>
    <xf numFmtId="0" fontId="14" fillId="5" borderId="74" xfId="0" applyFont="1" applyFill="1" applyBorder="1" applyAlignment="1">
      <alignment horizontal="right" vertical="center"/>
    </xf>
    <xf numFmtId="0" fontId="14" fillId="5" borderId="75" xfId="0" applyFont="1" applyFill="1" applyBorder="1" applyAlignment="1">
      <alignment horizontal="right" vertical="center"/>
    </xf>
    <xf numFmtId="172" fontId="13" fillId="9" borderId="76" xfId="0" applyNumberFormat="1" applyFont="1" applyFill="1" applyBorder="1" applyAlignment="1" applyProtection="1">
      <alignment horizontal="center" vertical="center"/>
      <protection locked="0"/>
    </xf>
    <xf numFmtId="172" fontId="13" fillId="9" borderId="77" xfId="0" applyNumberFormat="1" applyFont="1" applyFill="1" applyBorder="1" applyAlignment="1" applyProtection="1">
      <alignment horizontal="center" vertical="center"/>
      <protection locked="0"/>
    </xf>
    <xf numFmtId="172" fontId="13" fillId="9" borderId="78" xfId="0" applyNumberFormat="1" applyFont="1" applyFill="1" applyBorder="1" applyAlignment="1" applyProtection="1">
      <alignment horizontal="center" vertical="center"/>
      <protection locked="0"/>
    </xf>
    <xf numFmtId="172" fontId="13" fillId="9" borderId="55" xfId="0" applyNumberFormat="1" applyFont="1" applyFill="1" applyBorder="1" applyAlignment="1" applyProtection="1">
      <alignment horizontal="center" vertical="center"/>
      <protection locked="0"/>
    </xf>
    <xf numFmtId="172" fontId="13" fillId="9" borderId="79" xfId="0" applyNumberFormat="1" applyFont="1" applyFill="1" applyBorder="1" applyAlignment="1" applyProtection="1">
      <alignment horizontal="center" vertical="center"/>
      <protection locked="0"/>
    </xf>
    <xf numFmtId="172" fontId="13" fillId="9" borderId="80" xfId="0" applyNumberFormat="1" applyFont="1" applyFill="1" applyBorder="1" applyAlignment="1" applyProtection="1">
      <alignment horizontal="center" vertical="center"/>
      <protection locked="0"/>
    </xf>
    <xf numFmtId="2" fontId="13" fillId="9" borderId="81" xfId="0" applyNumberFormat="1" applyFont="1" applyFill="1" applyBorder="1" applyAlignment="1" applyProtection="1">
      <alignment horizontal="left" vertical="center"/>
      <protection locked="0"/>
    </xf>
    <xf numFmtId="2" fontId="13" fillId="9" borderId="82" xfId="0" applyNumberFormat="1" applyFont="1" applyFill="1" applyBorder="1" applyAlignment="1" applyProtection="1">
      <alignment horizontal="left" vertical="center"/>
      <protection locked="0"/>
    </xf>
    <xf numFmtId="0" fontId="26" fillId="5" borderId="9" xfId="0" applyFont="1" applyFill="1" applyBorder="1" applyAlignment="1">
      <alignment horizontal="center"/>
    </xf>
    <xf numFmtId="0" fontId="26" fillId="5" borderId="66" xfId="0" applyFont="1" applyFill="1" applyBorder="1" applyAlignment="1">
      <alignment horizontal="right" vertical="center"/>
    </xf>
    <xf numFmtId="0" fontId="26" fillId="5" borderId="57" xfId="0" applyFont="1" applyFill="1" applyBorder="1" applyAlignment="1">
      <alignment horizontal="right" vertical="center"/>
    </xf>
    <xf numFmtId="0" fontId="26" fillId="5" borderId="65" xfId="0" applyFont="1" applyFill="1" applyBorder="1" applyAlignment="1">
      <alignment horizontal="right" vertical="center"/>
    </xf>
    <xf numFmtId="2" fontId="4" fillId="5" borderId="83" xfId="0" applyNumberFormat="1" applyFont="1" applyFill="1" applyBorder="1" applyAlignment="1">
      <alignment horizontal="left" vertical="center"/>
    </xf>
    <xf numFmtId="2" fontId="4" fillId="5" borderId="84" xfId="0" applyNumberFormat="1" applyFont="1" applyFill="1" applyBorder="1" applyAlignment="1">
      <alignment horizontal="left" vertical="center"/>
    </xf>
    <xf numFmtId="2" fontId="29" fillId="5" borderId="9" xfId="0" applyNumberFormat="1" applyFont="1" applyFill="1" applyBorder="1" applyAlignment="1">
      <alignment horizontal="center"/>
    </xf>
    <xf numFmtId="3" fontId="13" fillId="9" borderId="85" xfId="0" applyNumberFormat="1" applyFont="1" applyFill="1" applyBorder="1" applyAlignment="1" applyProtection="1">
      <alignment horizontal="right" vertical="center"/>
      <protection locked="0"/>
    </xf>
    <xf numFmtId="3" fontId="13" fillId="9" borderId="81" xfId="0" applyNumberFormat="1" applyFont="1" applyFill="1" applyBorder="1" applyAlignment="1" applyProtection="1">
      <alignment horizontal="right" vertical="center"/>
      <protection locked="0"/>
    </xf>
    <xf numFmtId="0" fontId="5" fillId="5" borderId="86" xfId="0" applyFont="1" applyFill="1" applyBorder="1" applyAlignment="1">
      <alignment horizontal="left" vertical="center"/>
    </xf>
    <xf numFmtId="0" fontId="5" fillId="5" borderId="87" xfId="0" applyFont="1" applyFill="1" applyBorder="1" applyAlignment="1">
      <alignment horizontal="left" vertical="center"/>
    </xf>
    <xf numFmtId="2" fontId="4" fillId="5" borderId="88" xfId="0" applyNumberFormat="1" applyFont="1" applyFill="1" applyBorder="1" applyAlignment="1">
      <alignment horizontal="left" vertical="center"/>
    </xf>
    <xf numFmtId="2" fontId="4" fillId="5" borderId="89" xfId="0" applyNumberFormat="1" applyFont="1" applyFill="1" applyBorder="1" applyAlignment="1">
      <alignment horizontal="left" vertical="center"/>
    </xf>
    <xf numFmtId="181" fontId="17" fillId="5" borderId="0" xfId="0" applyNumberFormat="1" applyFont="1" applyFill="1" applyBorder="1" applyAlignment="1">
      <alignment horizontal="center" vertical="center"/>
    </xf>
    <xf numFmtId="171" fontId="26" fillId="5" borderId="90" xfId="0" applyNumberFormat="1" applyFont="1" applyFill="1" applyBorder="1" applyAlignment="1">
      <alignment horizontal="right" vertical="center"/>
    </xf>
    <xf numFmtId="171" fontId="26" fillId="5" borderId="71" xfId="0" applyNumberFormat="1" applyFont="1" applyFill="1" applyBorder="1" applyAlignment="1">
      <alignment horizontal="right" vertical="center"/>
    </xf>
    <xf numFmtId="0" fontId="14" fillId="5" borderId="91" xfId="0" applyFont="1" applyFill="1" applyBorder="1" applyAlignment="1">
      <alignment horizontal="right" vertical="center"/>
    </xf>
    <xf numFmtId="0" fontId="14" fillId="5" borderId="86" xfId="0" applyFont="1" applyFill="1" applyBorder="1" applyAlignment="1">
      <alignment horizontal="right" vertical="center"/>
    </xf>
    <xf numFmtId="0" fontId="14" fillId="5" borderId="92" xfId="0" applyFont="1" applyFill="1" applyBorder="1" applyAlignment="1">
      <alignment horizontal="right" vertical="center"/>
    </xf>
    <xf numFmtId="0" fontId="14" fillId="5" borderId="93" xfId="0" applyFont="1" applyFill="1" applyBorder="1" applyAlignment="1">
      <alignment horizontal="right" vertical="center"/>
    </xf>
    <xf numFmtId="0" fontId="14" fillId="5" borderId="71" xfId="0" applyFont="1" applyFill="1" applyBorder="1" applyAlignment="1">
      <alignment horizontal="right" vertical="center"/>
    </xf>
    <xf numFmtId="0" fontId="14" fillId="5" borderId="94" xfId="0" applyFont="1" applyFill="1" applyBorder="1" applyAlignment="1">
      <alignment horizontal="right" vertical="center"/>
    </xf>
    <xf numFmtId="0" fontId="27" fillId="5" borderId="9" xfId="0" applyFont="1" applyFill="1" applyBorder="1" applyAlignment="1">
      <alignment horizontal="right"/>
    </xf>
    <xf numFmtId="2" fontId="26" fillId="5" borderId="9" xfId="0" applyNumberFormat="1" applyFont="1" applyFill="1" applyBorder="1" applyAlignment="1">
      <alignment horizontal="center"/>
    </xf>
    <xf numFmtId="2" fontId="14" fillId="5" borderId="63" xfId="0" applyNumberFormat="1" applyFont="1" applyFill="1" applyBorder="1" applyAlignment="1">
      <alignment horizontal="center" vertical="center"/>
    </xf>
    <xf numFmtId="2" fontId="14" fillId="5" borderId="64" xfId="0" applyNumberFormat="1" applyFont="1" applyFill="1" applyBorder="1" applyAlignment="1">
      <alignment horizontal="center" vertical="center"/>
    </xf>
    <xf numFmtId="2" fontId="14" fillId="5" borderId="64" xfId="0" applyNumberFormat="1" applyFont="1" applyFill="1" applyBorder="1" applyAlignment="1">
      <alignment horizontal="left" vertical="center"/>
    </xf>
    <xf numFmtId="2" fontId="14" fillId="5" borderId="67" xfId="0" applyNumberFormat="1" applyFont="1" applyFill="1" applyBorder="1" applyAlignment="1">
      <alignment horizontal="left" vertical="center"/>
    </xf>
    <xf numFmtId="2" fontId="14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171" fontId="4" fillId="5" borderId="95" xfId="0" applyNumberFormat="1" applyFont="1" applyFill="1" applyBorder="1" applyAlignment="1">
      <alignment horizontal="right" vertical="center"/>
    </xf>
    <xf numFmtId="171" fontId="4" fillId="5" borderId="88" xfId="0" applyNumberFormat="1" applyFont="1" applyFill="1" applyBorder="1" applyAlignment="1">
      <alignment horizontal="right" vertical="center"/>
    </xf>
    <xf numFmtId="2" fontId="4" fillId="5" borderId="96" xfId="0" applyNumberFormat="1" applyFont="1" applyFill="1" applyBorder="1" applyAlignment="1">
      <alignment horizontal="right" vertical="center"/>
    </xf>
    <xf numFmtId="2" fontId="4" fillId="5" borderId="83" xfId="0" applyNumberFormat="1" applyFont="1" applyFill="1" applyBorder="1" applyAlignment="1">
      <alignment horizontal="right" vertical="center"/>
    </xf>
    <xf numFmtId="0" fontId="8" fillId="5" borderId="9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5" borderId="98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46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9" xfId="0" applyFont="1" applyFill="1" applyBorder="1" applyAlignment="1">
      <alignment horizontal="center" vertical="center"/>
    </xf>
    <xf numFmtId="2" fontId="38" fillId="5" borderId="69" xfId="0" applyNumberFormat="1" applyFont="1" applyFill="1" applyBorder="1" applyAlignment="1">
      <alignment horizontal="left" vertical="center"/>
    </xf>
    <xf numFmtId="2" fontId="38" fillId="5" borderId="100" xfId="0" applyNumberFormat="1" applyFont="1" applyFill="1" applyBorder="1" applyAlignment="1">
      <alignment horizontal="left" vertical="center"/>
    </xf>
    <xf numFmtId="2" fontId="38" fillId="5" borderId="64" xfId="0" applyNumberFormat="1" applyFont="1" applyFill="1" applyBorder="1" applyAlignment="1">
      <alignment horizontal="left" vertical="center"/>
    </xf>
    <xf numFmtId="2" fontId="38" fillId="5" borderId="67" xfId="0" applyNumberFormat="1" applyFont="1" applyFill="1" applyBorder="1" applyAlignment="1">
      <alignment horizontal="left" vertical="center"/>
    </xf>
    <xf numFmtId="2" fontId="29" fillId="5" borderId="56" xfId="0" applyNumberFormat="1" applyFont="1" applyFill="1" applyBorder="1" applyAlignment="1">
      <alignment horizontal="right" vertical="center"/>
    </xf>
    <xf numFmtId="2" fontId="29" fillId="5" borderId="57" xfId="0" applyNumberFormat="1" applyFont="1" applyFill="1" applyBorder="1" applyAlignment="1">
      <alignment horizontal="right" vertical="center"/>
    </xf>
    <xf numFmtId="171" fontId="29" fillId="5" borderId="90" xfId="0" applyNumberFormat="1" applyFont="1" applyFill="1" applyBorder="1" applyAlignment="1">
      <alignment horizontal="right" vertical="center"/>
    </xf>
    <xf numFmtId="171" fontId="29" fillId="5" borderId="71" xfId="0" applyNumberFormat="1" applyFont="1" applyFill="1" applyBorder="1" applyAlignment="1">
      <alignment horizontal="right" vertical="center"/>
    </xf>
    <xf numFmtId="2" fontId="29" fillId="5" borderId="57" xfId="0" applyNumberFormat="1" applyFont="1" applyFill="1" applyBorder="1" applyAlignment="1">
      <alignment horizontal="left" vertical="center"/>
    </xf>
    <xf numFmtId="2" fontId="29" fillId="5" borderId="58" xfId="0" applyNumberFormat="1" applyFont="1" applyFill="1" applyBorder="1" applyAlignment="1">
      <alignment horizontal="left" vertical="center"/>
    </xf>
    <xf numFmtId="2" fontId="30" fillId="5" borderId="57" xfId="0" applyNumberFormat="1" applyFont="1" applyFill="1" applyBorder="1" applyAlignment="1">
      <alignment horizontal="left" vertical="center"/>
    </xf>
    <xf numFmtId="2" fontId="30" fillId="5" borderId="58" xfId="0" applyNumberFormat="1" applyFont="1" applyFill="1" applyBorder="1" applyAlignment="1">
      <alignment horizontal="left" vertical="center"/>
    </xf>
    <xf numFmtId="2" fontId="29" fillId="5" borderId="71" xfId="0" applyNumberFormat="1" applyFont="1" applyFill="1" applyBorder="1" applyAlignment="1">
      <alignment horizontal="left" vertical="center"/>
    </xf>
    <xf numFmtId="2" fontId="29" fillId="5" borderId="72" xfId="0" applyNumberFormat="1" applyFont="1" applyFill="1" applyBorder="1" applyAlignment="1">
      <alignment horizontal="left" vertical="center"/>
    </xf>
    <xf numFmtId="168" fontId="29" fillId="5" borderId="56" xfId="0" applyNumberFormat="1" applyFont="1" applyFill="1" applyBorder="1" applyAlignment="1">
      <alignment horizontal="right" vertical="center"/>
    </xf>
    <xf numFmtId="168" fontId="29" fillId="5" borderId="57" xfId="0" applyNumberFormat="1" applyFont="1" applyFill="1" applyBorder="1" applyAlignment="1">
      <alignment horizontal="right" vertical="center"/>
    </xf>
    <xf numFmtId="0" fontId="5" fillId="5" borderId="101" xfId="0" applyFont="1" applyFill="1" applyBorder="1" applyAlignment="1">
      <alignment horizontal="right" vertical="center"/>
    </xf>
    <xf numFmtId="0" fontId="5" fillId="5" borderId="86" xfId="0" applyFont="1" applyFill="1" applyBorder="1" applyAlignment="1">
      <alignment horizontal="right" vertical="center"/>
    </xf>
    <xf numFmtId="0" fontId="38" fillId="5" borderId="102" xfId="0" applyFont="1" applyFill="1" applyBorder="1" applyAlignment="1">
      <alignment horizontal="right" vertical="center"/>
    </xf>
    <xf numFmtId="0" fontId="38" fillId="5" borderId="103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104" xfId="0" applyFont="1" applyFill="1" applyBorder="1" applyAlignment="1">
      <alignment horizontal="right" vertical="center"/>
    </xf>
    <xf numFmtId="0" fontId="5" fillId="5" borderId="42" xfId="0" applyFont="1" applyFill="1" applyBorder="1" applyAlignment="1">
      <alignment horizontal="right" vertical="center"/>
    </xf>
    <xf numFmtId="3" fontId="13" fillId="5" borderId="63" xfId="0" applyNumberFormat="1" applyFont="1" applyFill="1" applyBorder="1" applyAlignment="1">
      <alignment horizontal="right" vertical="center"/>
    </xf>
    <xf numFmtId="3" fontId="13" fillId="5" borderId="64" xfId="0" applyNumberFormat="1" applyFont="1" applyFill="1" applyBorder="1" applyAlignment="1">
      <alignment horizontal="right" vertical="center"/>
    </xf>
    <xf numFmtId="2" fontId="31" fillId="5" borderId="57" xfId="0" applyNumberFormat="1" applyFont="1" applyFill="1" applyBorder="1" applyAlignment="1">
      <alignment horizontal="left" vertical="center"/>
    </xf>
    <xf numFmtId="2" fontId="31" fillId="5" borderId="58" xfId="0" applyNumberFormat="1" applyFont="1" applyFill="1" applyBorder="1" applyAlignment="1">
      <alignment horizontal="left" vertical="center"/>
    </xf>
    <xf numFmtId="0" fontId="29" fillId="5" borderId="9" xfId="0" applyFont="1" applyFill="1" applyBorder="1" applyAlignment="1">
      <alignment horizontal="center"/>
    </xf>
    <xf numFmtId="0" fontId="29" fillId="5" borderId="66" xfId="0" applyFont="1" applyFill="1" applyBorder="1" applyAlignment="1">
      <alignment horizontal="right" vertical="center"/>
    </xf>
    <xf numFmtId="0" fontId="29" fillId="5" borderId="57" xfId="0" applyFont="1" applyFill="1" applyBorder="1" applyAlignment="1">
      <alignment horizontal="right" vertical="center"/>
    </xf>
    <xf numFmtId="0" fontId="29" fillId="5" borderId="65" xfId="0" applyFont="1" applyFill="1" applyBorder="1" applyAlignment="1">
      <alignment horizontal="right" vertical="center"/>
    </xf>
    <xf numFmtId="0" fontId="29" fillId="5" borderId="73" xfId="0" applyFont="1" applyFill="1" applyBorder="1" applyAlignment="1">
      <alignment horizontal="right" vertical="center"/>
    </xf>
    <xf numFmtId="0" fontId="29" fillId="5" borderId="74" xfId="0" applyFont="1" applyFill="1" applyBorder="1" applyAlignment="1">
      <alignment horizontal="right" vertical="center"/>
    </xf>
    <xf numFmtId="0" fontId="29" fillId="5" borderId="93" xfId="0" applyFont="1" applyFill="1" applyBorder="1" applyAlignment="1">
      <alignment horizontal="right" vertical="center"/>
    </xf>
    <xf numFmtId="0" fontId="29" fillId="5" borderId="71" xfId="0" applyFont="1" applyFill="1" applyBorder="1" applyAlignment="1">
      <alignment horizontal="right" vertical="center"/>
    </xf>
    <xf numFmtId="0" fontId="29" fillId="5" borderId="75" xfId="0" applyFont="1" applyFill="1" applyBorder="1" applyAlignment="1">
      <alignment horizontal="right" vertical="center"/>
    </xf>
    <xf numFmtId="0" fontId="29" fillId="5" borderId="94" xfId="0" applyFont="1" applyFill="1" applyBorder="1" applyAlignment="1">
      <alignment horizontal="right" vertical="center"/>
    </xf>
    <xf numFmtId="2" fontId="14" fillId="5" borderId="90" xfId="0" applyNumberFormat="1" applyFont="1" applyFill="1" applyBorder="1" applyAlignment="1">
      <alignment horizontal="right" vertical="center"/>
    </xf>
    <xf numFmtId="2" fontId="14" fillId="5" borderId="71" xfId="0" applyNumberFormat="1" applyFont="1" applyFill="1" applyBorder="1" applyAlignment="1">
      <alignment horizontal="right" vertical="center"/>
    </xf>
    <xf numFmtId="0" fontId="28" fillId="5" borderId="9" xfId="0" applyFont="1" applyFill="1" applyBorder="1" applyAlignment="1">
      <alignment horizontal="right"/>
    </xf>
    <xf numFmtId="173" fontId="13" fillId="9" borderId="63" xfId="0" applyNumberFormat="1" applyFont="1" applyFill="1" applyBorder="1" applyAlignment="1" applyProtection="1">
      <alignment horizontal="center" vertical="center"/>
      <protection locked="0"/>
    </xf>
    <xf numFmtId="173" fontId="13" fillId="9" borderId="64" xfId="0" applyNumberFormat="1" applyFont="1" applyFill="1" applyBorder="1" applyAlignment="1" applyProtection="1">
      <alignment horizontal="center" vertical="center"/>
      <protection locked="0"/>
    </xf>
    <xf numFmtId="173" fontId="13" fillId="9" borderId="67" xfId="0" applyNumberFormat="1" applyFont="1" applyFill="1" applyBorder="1" applyAlignment="1" applyProtection="1">
      <alignment horizontal="center" vertical="center"/>
      <protection locked="0"/>
    </xf>
    <xf numFmtId="2" fontId="4" fillId="5" borderId="90" xfId="0" applyNumberFormat="1" applyFont="1" applyFill="1" applyBorder="1" applyAlignment="1">
      <alignment horizontal="right" vertical="center"/>
    </xf>
    <xf numFmtId="2" fontId="4" fillId="5" borderId="71" xfId="0" applyNumberFormat="1" applyFont="1" applyFill="1" applyBorder="1" applyAlignment="1">
      <alignment horizontal="right" vertical="center"/>
    </xf>
    <xf numFmtId="2" fontId="4" fillId="5" borderId="71" xfId="0" applyNumberFormat="1" applyFont="1" applyFill="1" applyBorder="1" applyAlignment="1">
      <alignment horizontal="left" vertical="center"/>
    </xf>
    <xf numFmtId="2" fontId="4" fillId="5" borderId="72" xfId="0" applyNumberFormat="1" applyFont="1" applyFill="1" applyBorder="1" applyAlignment="1">
      <alignment horizontal="left" vertical="center"/>
    </xf>
    <xf numFmtId="2" fontId="4" fillId="5" borderId="56" xfId="0" applyNumberFormat="1" applyFont="1" applyFill="1" applyBorder="1" applyAlignment="1">
      <alignment horizontal="right" vertical="center"/>
    </xf>
    <xf numFmtId="2" fontId="4" fillId="5" borderId="57" xfId="0" applyNumberFormat="1" applyFont="1" applyFill="1" applyBorder="1" applyAlignment="1">
      <alignment horizontal="right" vertical="center"/>
    </xf>
    <xf numFmtId="2" fontId="4" fillId="5" borderId="57" xfId="0" applyNumberFormat="1" applyFont="1" applyFill="1" applyBorder="1" applyAlignment="1">
      <alignment horizontal="left" vertical="center"/>
    </xf>
    <xf numFmtId="2" fontId="4" fillId="5" borderId="58" xfId="0" applyNumberFormat="1" applyFont="1" applyFill="1" applyBorder="1" applyAlignment="1">
      <alignment horizontal="left" vertical="center"/>
    </xf>
    <xf numFmtId="2" fontId="14" fillId="5" borderId="56" xfId="0" applyNumberFormat="1" applyFont="1" applyFill="1" applyBorder="1" applyAlignment="1">
      <alignment horizontal="right" vertical="center"/>
    </xf>
    <xf numFmtId="2" fontId="14" fillId="5" borderId="57" xfId="0" applyNumberFormat="1" applyFont="1" applyFill="1" applyBorder="1" applyAlignment="1">
      <alignment horizontal="right" vertical="center"/>
    </xf>
    <xf numFmtId="3" fontId="38" fillId="5" borderId="63" xfId="0" applyNumberFormat="1" applyFont="1" applyFill="1" applyBorder="1" applyAlignment="1">
      <alignment horizontal="right" vertical="center"/>
    </xf>
    <xf numFmtId="3" fontId="38" fillId="5" borderId="64" xfId="0" applyNumberFormat="1" applyFont="1" applyFill="1" applyBorder="1" applyAlignment="1">
      <alignment horizontal="right" vertical="center"/>
    </xf>
    <xf numFmtId="190" fontId="20" fillId="5" borderId="105" xfId="0" applyNumberFormat="1" applyFont="1" applyFill="1" applyBorder="1" applyAlignment="1">
      <alignment horizontal="left" vertical="center"/>
    </xf>
    <xf numFmtId="0" fontId="20" fillId="5" borderId="105" xfId="0" applyFont="1" applyFill="1" applyBorder="1" applyAlignment="1">
      <alignment horizontal="right" vertical="center"/>
    </xf>
    <xf numFmtId="194" fontId="33" fillId="5" borderId="79" xfId="0" applyNumberFormat="1" applyFont="1" applyFill="1" applyBorder="1" applyAlignment="1">
      <alignment horizontal="left" vertical="center"/>
    </xf>
    <xf numFmtId="194" fontId="33" fillId="5" borderId="80" xfId="0" applyNumberFormat="1" applyFont="1" applyFill="1" applyBorder="1" applyAlignment="1">
      <alignment horizontal="left" vertical="center"/>
    </xf>
    <xf numFmtId="210" fontId="33" fillId="5" borderId="79" xfId="0" applyNumberFormat="1" applyFont="1" applyFill="1" applyBorder="1" applyAlignment="1">
      <alignment horizontal="left" vertical="center"/>
    </xf>
    <xf numFmtId="210" fontId="33" fillId="5" borderId="80" xfId="0" applyNumberFormat="1" applyFont="1" applyFill="1" applyBorder="1" applyAlignment="1">
      <alignment horizontal="left" vertical="center"/>
    </xf>
    <xf numFmtId="209" fontId="12" fillId="5" borderId="31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horizontal="center" vertical="center"/>
    </xf>
    <xf numFmtId="197" fontId="33" fillId="5" borderId="79" xfId="0" applyNumberFormat="1" applyFont="1" applyFill="1" applyBorder="1" applyAlignment="1">
      <alignment horizontal="left" vertical="center"/>
    </xf>
    <xf numFmtId="197" fontId="33" fillId="5" borderId="80" xfId="0" applyNumberFormat="1" applyFont="1" applyFill="1" applyBorder="1" applyAlignment="1">
      <alignment horizontal="left" vertical="center"/>
    </xf>
    <xf numFmtId="198" fontId="33" fillId="5" borderId="79" xfId="0" applyNumberFormat="1" applyFont="1" applyFill="1" applyBorder="1" applyAlignment="1">
      <alignment horizontal="left" vertical="center"/>
    </xf>
    <xf numFmtId="198" fontId="33" fillId="5" borderId="80" xfId="0" applyNumberFormat="1" applyFont="1" applyFill="1" applyBorder="1" applyAlignment="1">
      <alignment horizontal="left" vertical="center"/>
    </xf>
    <xf numFmtId="0" fontId="13" fillId="5" borderId="106" xfId="0" applyFont="1" applyFill="1" applyBorder="1" applyAlignment="1">
      <alignment horizontal="center"/>
    </xf>
    <xf numFmtId="2" fontId="19" fillId="5" borderId="51" xfId="0" applyNumberFormat="1" applyFont="1" applyFill="1" applyBorder="1" applyAlignment="1">
      <alignment horizontal="center" vertical="center"/>
    </xf>
    <xf numFmtId="2" fontId="19" fillId="5" borderId="11" xfId="0" applyNumberFormat="1" applyFont="1" applyFill="1" applyBorder="1" applyAlignment="1">
      <alignment horizontal="center" vertical="top"/>
    </xf>
    <xf numFmtId="209" fontId="10" fillId="5" borderId="31" xfId="0" applyNumberFormat="1" applyFont="1" applyFill="1" applyBorder="1" applyAlignment="1">
      <alignment horizontal="center" vertical="center"/>
    </xf>
    <xf numFmtId="179" fontId="17" fillId="5" borderId="0" xfId="0" applyNumberFormat="1" applyFont="1" applyFill="1" applyBorder="1" applyAlignment="1">
      <alignment horizontal="right" vertical="center"/>
    </xf>
    <xf numFmtId="191" fontId="13" fillId="5" borderId="0" xfId="0" applyNumberFormat="1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13" fillId="5" borderId="85" xfId="0" applyFont="1" applyFill="1" applyBorder="1" applyAlignment="1">
      <alignment horizontal="center" vertical="center"/>
    </xf>
    <xf numFmtId="0" fontId="13" fillId="5" borderId="81" xfId="0" applyFont="1" applyFill="1" applyBorder="1" applyAlignment="1">
      <alignment horizontal="center" vertical="center"/>
    </xf>
    <xf numFmtId="0" fontId="13" fillId="5" borderId="82" xfId="0" applyFont="1" applyFill="1" applyBorder="1" applyAlignment="1">
      <alignment horizontal="center" vertical="center"/>
    </xf>
    <xf numFmtId="0" fontId="23" fillId="5" borderId="107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193" fontId="33" fillId="5" borderId="79" xfId="0" applyNumberFormat="1" applyFont="1" applyFill="1" applyBorder="1" applyAlignment="1">
      <alignment horizontal="left" vertical="center"/>
    </xf>
    <xf numFmtId="193" fontId="33" fillId="5" borderId="80" xfId="0" applyNumberFormat="1" applyFont="1" applyFill="1" applyBorder="1" applyAlignment="1">
      <alignment horizontal="left" vertical="center"/>
    </xf>
    <xf numFmtId="200" fontId="33" fillId="5" borderId="79" xfId="0" applyNumberFormat="1" applyFont="1" applyFill="1" applyBorder="1" applyAlignment="1">
      <alignment horizontal="left" vertical="center"/>
    </xf>
    <xf numFmtId="200" fontId="33" fillId="5" borderId="80" xfId="0" applyNumberFormat="1" applyFont="1" applyFill="1" applyBorder="1" applyAlignment="1">
      <alignment horizontal="left" vertical="center"/>
    </xf>
    <xf numFmtId="204" fontId="33" fillId="5" borderId="105" xfId="0" applyNumberFormat="1" applyFont="1" applyFill="1" applyBorder="1" applyAlignment="1">
      <alignment horizontal="left" vertical="center"/>
    </xf>
    <xf numFmtId="204" fontId="33" fillId="5" borderId="54" xfId="0" applyNumberFormat="1" applyFont="1" applyFill="1" applyBorder="1" applyAlignment="1">
      <alignment horizontal="left" vertical="center"/>
    </xf>
    <xf numFmtId="206" fontId="33" fillId="5" borderId="79" xfId="0" applyNumberFormat="1" applyFont="1" applyFill="1" applyBorder="1" applyAlignment="1">
      <alignment horizontal="left" vertical="center"/>
    </xf>
    <xf numFmtId="206" fontId="33" fillId="5" borderId="80" xfId="0" applyNumberFormat="1" applyFont="1" applyFill="1" applyBorder="1" applyAlignment="1">
      <alignment horizontal="left" vertical="center"/>
    </xf>
    <xf numFmtId="208" fontId="33" fillId="5" borderId="79" xfId="0" applyNumberFormat="1" applyFont="1" applyFill="1" applyBorder="1" applyAlignment="1">
      <alignment horizontal="left" vertical="center"/>
    </xf>
    <xf numFmtId="208" fontId="33" fillId="5" borderId="80" xfId="0" applyNumberFormat="1" applyFont="1" applyFill="1" applyBorder="1" applyAlignment="1">
      <alignment horizontal="left" vertical="center"/>
    </xf>
    <xf numFmtId="170" fontId="0" fillId="3" borderId="10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69" fontId="0" fillId="3" borderId="10" xfId="0" applyNumberFormat="1" applyFill="1" applyBorder="1" applyAlignment="1">
      <alignment horizontal="center"/>
    </xf>
    <xf numFmtId="169" fontId="0" fillId="3" borderId="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Euro" xfId="17"/>
    <cellStyle name="Followed Hyperlink" xfId="18"/>
    <cellStyle name="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85725</xdr:colOff>
      <xdr:row>22</xdr:row>
      <xdr:rowOff>114300</xdr:rowOff>
    </xdr:from>
    <xdr:to>
      <xdr:col>92</xdr:col>
      <xdr:colOff>57150</xdr:colOff>
      <xdr:row>29</xdr:row>
      <xdr:rowOff>133350</xdr:rowOff>
    </xdr:to>
    <xdr:sp>
      <xdr:nvSpPr>
        <xdr:cNvPr id="1" name="Line 117"/>
        <xdr:cNvSpPr>
          <a:spLocks/>
        </xdr:cNvSpPr>
      </xdr:nvSpPr>
      <xdr:spPr>
        <a:xfrm>
          <a:off x="6991350" y="3533775"/>
          <a:ext cx="1876425" cy="12192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19</xdr:row>
      <xdr:rowOff>152400</xdr:rowOff>
    </xdr:from>
    <xdr:to>
      <xdr:col>83</xdr:col>
      <xdr:colOff>9525</xdr:colOff>
      <xdr:row>28</xdr:row>
      <xdr:rowOff>152400</xdr:rowOff>
    </xdr:to>
    <xdr:sp>
      <xdr:nvSpPr>
        <xdr:cNvPr id="2" name="AutoShape 104"/>
        <xdr:cNvSpPr>
          <a:spLocks/>
        </xdr:cNvSpPr>
      </xdr:nvSpPr>
      <xdr:spPr>
        <a:xfrm>
          <a:off x="6334125" y="3057525"/>
          <a:ext cx="1628775" cy="1543050"/>
        </a:xfrm>
        <a:custGeom>
          <a:pathLst>
            <a:path h="174" w="195">
              <a:moveTo>
                <a:pt x="0" y="174"/>
              </a:moveTo>
              <a:cubicBezTo>
                <a:pt x="7" y="172"/>
                <a:pt x="30" y="169"/>
                <a:pt x="44" y="164"/>
              </a:cubicBezTo>
              <a:cubicBezTo>
                <a:pt x="58" y="159"/>
                <a:pt x="73" y="153"/>
                <a:pt x="86" y="144"/>
              </a:cubicBezTo>
              <a:cubicBezTo>
                <a:pt x="99" y="135"/>
                <a:pt x="112" y="124"/>
                <a:pt x="123" y="113"/>
              </a:cubicBezTo>
              <a:cubicBezTo>
                <a:pt x="134" y="102"/>
                <a:pt x="145" y="90"/>
                <a:pt x="154" y="78"/>
              </a:cubicBezTo>
              <a:cubicBezTo>
                <a:pt x="163" y="66"/>
                <a:pt x="171" y="55"/>
                <a:pt x="178" y="42"/>
              </a:cubicBezTo>
              <a:cubicBezTo>
                <a:pt x="185" y="29"/>
                <a:pt x="192" y="9"/>
                <a:pt x="195" y="0"/>
              </a:cubicBez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19</xdr:row>
      <xdr:rowOff>152400</xdr:rowOff>
    </xdr:from>
    <xdr:to>
      <xdr:col>86</xdr:col>
      <xdr:colOff>0</xdr:colOff>
      <xdr:row>29</xdr:row>
      <xdr:rowOff>47625</xdr:rowOff>
    </xdr:to>
    <xdr:sp>
      <xdr:nvSpPr>
        <xdr:cNvPr id="3" name="AutoShape 105"/>
        <xdr:cNvSpPr>
          <a:spLocks/>
        </xdr:cNvSpPr>
      </xdr:nvSpPr>
      <xdr:spPr>
        <a:xfrm>
          <a:off x="6334125" y="3057525"/>
          <a:ext cx="1905000" cy="1609725"/>
        </a:xfrm>
        <a:custGeom>
          <a:pathLst>
            <a:path h="174" w="195">
              <a:moveTo>
                <a:pt x="0" y="174"/>
              </a:moveTo>
              <a:cubicBezTo>
                <a:pt x="7" y="172"/>
                <a:pt x="30" y="169"/>
                <a:pt x="44" y="164"/>
              </a:cubicBezTo>
              <a:cubicBezTo>
                <a:pt x="58" y="159"/>
                <a:pt x="73" y="153"/>
                <a:pt x="86" y="144"/>
              </a:cubicBezTo>
              <a:cubicBezTo>
                <a:pt x="99" y="135"/>
                <a:pt x="112" y="124"/>
                <a:pt x="123" y="113"/>
              </a:cubicBezTo>
              <a:cubicBezTo>
                <a:pt x="134" y="102"/>
                <a:pt x="145" y="90"/>
                <a:pt x="154" y="78"/>
              </a:cubicBezTo>
              <a:cubicBezTo>
                <a:pt x="163" y="66"/>
                <a:pt x="171" y="55"/>
                <a:pt x="178" y="42"/>
              </a:cubicBezTo>
              <a:cubicBezTo>
                <a:pt x="185" y="29"/>
                <a:pt x="192" y="9"/>
                <a:pt x="195" y="0"/>
              </a:cubicBezTo>
            </a:path>
          </a:pathLst>
        </a:cu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91</xdr:col>
      <xdr:colOff>0</xdr:colOff>
      <xdr:row>29</xdr:row>
      <xdr:rowOff>85725</xdr:rowOff>
    </xdr:to>
    <xdr:sp>
      <xdr:nvSpPr>
        <xdr:cNvPr id="4" name="AutoShape 106"/>
        <xdr:cNvSpPr>
          <a:spLocks/>
        </xdr:cNvSpPr>
      </xdr:nvSpPr>
      <xdr:spPr>
        <a:xfrm>
          <a:off x="6334125" y="3076575"/>
          <a:ext cx="2381250" cy="1628775"/>
        </a:xfrm>
        <a:custGeom>
          <a:pathLst>
            <a:path h="174" w="195">
              <a:moveTo>
                <a:pt x="0" y="174"/>
              </a:moveTo>
              <a:cubicBezTo>
                <a:pt x="7" y="172"/>
                <a:pt x="30" y="169"/>
                <a:pt x="44" y="164"/>
              </a:cubicBezTo>
              <a:cubicBezTo>
                <a:pt x="58" y="159"/>
                <a:pt x="73" y="153"/>
                <a:pt x="86" y="144"/>
              </a:cubicBezTo>
              <a:cubicBezTo>
                <a:pt x="99" y="135"/>
                <a:pt x="112" y="124"/>
                <a:pt x="123" y="113"/>
              </a:cubicBezTo>
              <a:cubicBezTo>
                <a:pt x="134" y="102"/>
                <a:pt x="145" y="90"/>
                <a:pt x="154" y="78"/>
              </a:cubicBezTo>
              <a:cubicBezTo>
                <a:pt x="163" y="66"/>
                <a:pt x="171" y="55"/>
                <a:pt x="178" y="42"/>
              </a:cubicBezTo>
              <a:cubicBezTo>
                <a:pt x="185" y="29"/>
                <a:pt x="192" y="9"/>
                <a:pt x="195" y="0"/>
              </a:cubicBez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22</xdr:row>
      <xdr:rowOff>0</xdr:rowOff>
    </xdr:from>
    <xdr:to>
      <xdr:col>89</xdr:col>
      <xdr:colOff>0</xdr:colOff>
      <xdr:row>26</xdr:row>
      <xdr:rowOff>152400</xdr:rowOff>
    </xdr:to>
    <xdr:sp>
      <xdr:nvSpPr>
        <xdr:cNvPr id="5" name="Line 96"/>
        <xdr:cNvSpPr>
          <a:spLocks/>
        </xdr:cNvSpPr>
      </xdr:nvSpPr>
      <xdr:spPr>
        <a:xfrm flipV="1">
          <a:off x="7096125" y="3419475"/>
          <a:ext cx="1428750" cy="8382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20</xdr:row>
      <xdr:rowOff>9525</xdr:rowOff>
    </xdr:from>
    <xdr:to>
      <xdr:col>79</xdr:col>
      <xdr:colOff>19050</xdr:colOff>
      <xdr:row>28</xdr:row>
      <xdr:rowOff>95250</xdr:rowOff>
    </xdr:to>
    <xdr:sp>
      <xdr:nvSpPr>
        <xdr:cNvPr id="6" name="AutoShape 100"/>
        <xdr:cNvSpPr>
          <a:spLocks/>
        </xdr:cNvSpPr>
      </xdr:nvSpPr>
      <xdr:spPr>
        <a:xfrm>
          <a:off x="6334125" y="3086100"/>
          <a:ext cx="1257300" cy="1457325"/>
        </a:xfrm>
        <a:custGeom>
          <a:pathLst>
            <a:path h="174" w="195">
              <a:moveTo>
                <a:pt x="0" y="174"/>
              </a:moveTo>
              <a:cubicBezTo>
                <a:pt x="7" y="172"/>
                <a:pt x="30" y="169"/>
                <a:pt x="44" y="164"/>
              </a:cubicBezTo>
              <a:cubicBezTo>
                <a:pt x="58" y="159"/>
                <a:pt x="73" y="153"/>
                <a:pt x="86" y="144"/>
              </a:cubicBezTo>
              <a:cubicBezTo>
                <a:pt x="99" y="135"/>
                <a:pt x="112" y="124"/>
                <a:pt x="123" y="113"/>
              </a:cubicBezTo>
              <a:cubicBezTo>
                <a:pt x="134" y="102"/>
                <a:pt x="145" y="90"/>
                <a:pt x="154" y="78"/>
              </a:cubicBezTo>
              <a:cubicBezTo>
                <a:pt x="163" y="66"/>
                <a:pt x="171" y="55"/>
                <a:pt x="178" y="42"/>
              </a:cubicBezTo>
              <a:cubicBezTo>
                <a:pt x="185" y="29"/>
                <a:pt x="192" y="9"/>
                <a:pt x="195" y="0"/>
              </a:cubicBezTo>
            </a:path>
          </a:pathLst>
        </a:cu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30</xdr:row>
      <xdr:rowOff>28575</xdr:rowOff>
    </xdr:from>
    <xdr:to>
      <xdr:col>161</xdr:col>
      <xdr:colOff>0</xdr:colOff>
      <xdr:row>30</xdr:row>
      <xdr:rowOff>28575</xdr:rowOff>
    </xdr:to>
    <xdr:sp>
      <xdr:nvSpPr>
        <xdr:cNvPr id="7" name="Line 110"/>
        <xdr:cNvSpPr>
          <a:spLocks/>
        </xdr:cNvSpPr>
      </xdr:nvSpPr>
      <xdr:spPr>
        <a:xfrm>
          <a:off x="9477375" y="4819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85725</xdr:colOff>
      <xdr:row>21</xdr:row>
      <xdr:rowOff>76200</xdr:rowOff>
    </xdr:from>
    <xdr:to>
      <xdr:col>89</xdr:col>
      <xdr:colOff>85725</xdr:colOff>
      <xdr:row>22</xdr:row>
      <xdr:rowOff>85725</xdr:rowOff>
    </xdr:to>
    <xdr:sp>
      <xdr:nvSpPr>
        <xdr:cNvPr id="8" name="Oval 114"/>
        <xdr:cNvSpPr>
          <a:spLocks/>
        </xdr:cNvSpPr>
      </xdr:nvSpPr>
      <xdr:spPr>
        <a:xfrm>
          <a:off x="8420100" y="3324225"/>
          <a:ext cx="190500" cy="180975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79</xdr:col>
      <xdr:colOff>0</xdr:colOff>
      <xdr:row>24</xdr:row>
      <xdr:rowOff>85725</xdr:rowOff>
    </xdr:from>
    <xdr:to>
      <xdr:col>81</xdr:col>
      <xdr:colOff>0</xdr:colOff>
      <xdr:row>25</xdr:row>
      <xdr:rowOff>95250</xdr:rowOff>
    </xdr:to>
    <xdr:sp>
      <xdr:nvSpPr>
        <xdr:cNvPr id="9" name="Oval 115"/>
        <xdr:cNvSpPr>
          <a:spLocks/>
        </xdr:cNvSpPr>
      </xdr:nvSpPr>
      <xdr:spPr>
        <a:xfrm>
          <a:off x="7572375" y="3848100"/>
          <a:ext cx="190500" cy="1809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73</xdr:col>
      <xdr:colOff>0</xdr:colOff>
      <xdr:row>26</xdr:row>
      <xdr:rowOff>57150</xdr:rowOff>
    </xdr:from>
    <xdr:to>
      <xdr:col>75</xdr:col>
      <xdr:colOff>0</xdr:colOff>
      <xdr:row>27</xdr:row>
      <xdr:rowOff>66675</xdr:rowOff>
    </xdr:to>
    <xdr:sp>
      <xdr:nvSpPr>
        <xdr:cNvPr id="10" name="Oval 116"/>
        <xdr:cNvSpPr>
          <a:spLocks/>
        </xdr:cNvSpPr>
      </xdr:nvSpPr>
      <xdr:spPr>
        <a:xfrm>
          <a:off x="7000875" y="4162425"/>
          <a:ext cx="190500" cy="180975"/>
        </a:xfrm>
        <a:prstGeom prst="ellips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74</xdr:col>
      <xdr:colOff>57150</xdr:colOff>
      <xdr:row>24</xdr:row>
      <xdr:rowOff>123825</xdr:rowOff>
    </xdr:from>
    <xdr:to>
      <xdr:col>75</xdr:col>
      <xdr:colOff>28575</xdr:colOff>
      <xdr:row>25</xdr:row>
      <xdr:rowOff>28575</xdr:rowOff>
    </xdr:to>
    <xdr:sp>
      <xdr:nvSpPr>
        <xdr:cNvPr id="11" name="Oval 97"/>
        <xdr:cNvSpPr>
          <a:spLocks/>
        </xdr:cNvSpPr>
      </xdr:nvSpPr>
      <xdr:spPr>
        <a:xfrm>
          <a:off x="7153275" y="3886200"/>
          <a:ext cx="66675" cy="762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>
    <xdr:from>
      <xdr:col>79</xdr:col>
      <xdr:colOff>66675</xdr:colOff>
      <xdr:row>29</xdr:row>
      <xdr:rowOff>123825</xdr:rowOff>
    </xdr:from>
    <xdr:to>
      <xdr:col>80</xdr:col>
      <xdr:colOff>38100</xdr:colOff>
      <xdr:row>30</xdr:row>
      <xdr:rowOff>28575</xdr:rowOff>
    </xdr:to>
    <xdr:sp>
      <xdr:nvSpPr>
        <xdr:cNvPr id="12" name="Oval 99"/>
        <xdr:cNvSpPr>
          <a:spLocks/>
        </xdr:cNvSpPr>
      </xdr:nvSpPr>
      <xdr:spPr>
        <a:xfrm>
          <a:off x="7639050" y="4743450"/>
          <a:ext cx="66675" cy="762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25</xdr:row>
      <xdr:rowOff>114300</xdr:rowOff>
    </xdr:from>
    <xdr:to>
      <xdr:col>60</xdr:col>
      <xdr:colOff>76200</xdr:colOff>
      <xdr:row>29</xdr:row>
      <xdr:rowOff>9525</xdr:rowOff>
    </xdr:to>
    <xdr:sp>
      <xdr:nvSpPr>
        <xdr:cNvPr id="13" name="Arc 130"/>
        <xdr:cNvSpPr>
          <a:spLocks/>
        </xdr:cNvSpPr>
      </xdr:nvSpPr>
      <xdr:spPr>
        <a:xfrm rot="18471472">
          <a:off x="5143500" y="4048125"/>
          <a:ext cx="695325" cy="581025"/>
        </a:xfrm>
        <a:prstGeom prst="arc">
          <a:avLst>
            <a:gd name="adj1" fmla="val -24889513"/>
            <a:gd name="adj2" fmla="val -1896199"/>
            <a:gd name="adj3" fmla="val 48995"/>
          </a:avLst>
        </a:prstGeom>
        <a:pattFill prst="ltUpDiag">
          <a:fgClr>
            <a:srgbClr val="000000"/>
          </a:fgClr>
          <a:bgClr>
            <a:srgbClr val="FFFFFF"/>
          </a:bgClr>
        </a:pattFill>
        <a:ln w="38100" cmpd="dbl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28</xdr:row>
      <xdr:rowOff>9525</xdr:rowOff>
    </xdr:from>
    <xdr:to>
      <xdr:col>57</xdr:col>
      <xdr:colOff>66675</xdr:colOff>
      <xdr:row>28</xdr:row>
      <xdr:rowOff>123825</xdr:rowOff>
    </xdr:to>
    <xdr:sp>
      <xdr:nvSpPr>
        <xdr:cNvPr id="14" name="Oval 134"/>
        <xdr:cNvSpPr>
          <a:spLocks/>
        </xdr:cNvSpPr>
      </xdr:nvSpPr>
      <xdr:spPr>
        <a:xfrm>
          <a:off x="5419725" y="4457700"/>
          <a:ext cx="123825" cy="114300"/>
        </a:xfrm>
        <a:prstGeom prst="ellipse">
          <a:avLst/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28</xdr:row>
      <xdr:rowOff>38100</xdr:rowOff>
    </xdr:from>
    <xdr:to>
      <xdr:col>57</xdr:col>
      <xdr:colOff>38100</xdr:colOff>
      <xdr:row>28</xdr:row>
      <xdr:rowOff>104775</xdr:rowOff>
    </xdr:to>
    <xdr:sp>
      <xdr:nvSpPr>
        <xdr:cNvPr id="15" name="Oval 135"/>
        <xdr:cNvSpPr>
          <a:spLocks/>
        </xdr:cNvSpPr>
      </xdr:nvSpPr>
      <xdr:spPr>
        <a:xfrm>
          <a:off x="5448300" y="4486275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133350</xdr:rowOff>
    </xdr:from>
    <xdr:to>
      <xdr:col>61</xdr:col>
      <xdr:colOff>85725</xdr:colOff>
      <xdr:row>28</xdr:row>
      <xdr:rowOff>28575</xdr:rowOff>
    </xdr:to>
    <xdr:sp>
      <xdr:nvSpPr>
        <xdr:cNvPr id="16" name="Line 136"/>
        <xdr:cNvSpPr>
          <a:spLocks/>
        </xdr:cNvSpPr>
      </xdr:nvSpPr>
      <xdr:spPr>
        <a:xfrm flipH="1">
          <a:off x="5572125" y="4238625"/>
          <a:ext cx="371475" cy="2381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26</xdr:row>
      <xdr:rowOff>133350</xdr:rowOff>
    </xdr:from>
    <xdr:to>
      <xdr:col>56</xdr:col>
      <xdr:colOff>9525</xdr:colOff>
      <xdr:row>28</xdr:row>
      <xdr:rowOff>28575</xdr:rowOff>
    </xdr:to>
    <xdr:sp>
      <xdr:nvSpPr>
        <xdr:cNvPr id="17" name="Line 137"/>
        <xdr:cNvSpPr>
          <a:spLocks/>
        </xdr:cNvSpPr>
      </xdr:nvSpPr>
      <xdr:spPr>
        <a:xfrm>
          <a:off x="5038725" y="4238625"/>
          <a:ext cx="352425" cy="2381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26</xdr:row>
      <xdr:rowOff>0</xdr:rowOff>
    </xdr:from>
    <xdr:to>
      <xdr:col>57</xdr:col>
      <xdr:colOff>9525</xdr:colOff>
      <xdr:row>26</xdr:row>
      <xdr:rowOff>104775</xdr:rowOff>
    </xdr:to>
    <xdr:sp>
      <xdr:nvSpPr>
        <xdr:cNvPr id="18" name="Line 133"/>
        <xdr:cNvSpPr>
          <a:spLocks/>
        </xdr:cNvSpPr>
      </xdr:nvSpPr>
      <xdr:spPr>
        <a:xfrm>
          <a:off x="5486400" y="4105275"/>
          <a:ext cx="0" cy="1047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27</xdr:row>
      <xdr:rowOff>9525</xdr:rowOff>
    </xdr:from>
    <xdr:to>
      <xdr:col>57</xdr:col>
      <xdr:colOff>38100</xdr:colOff>
      <xdr:row>28</xdr:row>
      <xdr:rowOff>9525</xdr:rowOff>
    </xdr:to>
    <xdr:sp>
      <xdr:nvSpPr>
        <xdr:cNvPr id="19" name="AutoShape 132"/>
        <xdr:cNvSpPr>
          <a:spLocks/>
        </xdr:cNvSpPr>
      </xdr:nvSpPr>
      <xdr:spPr>
        <a:xfrm flipH="1">
          <a:off x="5448300" y="4286250"/>
          <a:ext cx="66675" cy="171450"/>
        </a:xfrm>
        <a:prstGeom prst="upArrow">
          <a:avLst>
            <a:gd name="adj1" fmla="val 50000"/>
            <a:gd name="adj2" fmla="val -50000"/>
          </a:avLst>
        </a:prstGeom>
        <a:solidFill>
          <a:srgbClr val="FFFF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47625</xdr:colOff>
      <xdr:row>22</xdr:row>
      <xdr:rowOff>76200</xdr:rowOff>
    </xdr:from>
    <xdr:to>
      <xdr:col>73</xdr:col>
      <xdr:colOff>19050</xdr:colOff>
      <xdr:row>22</xdr:row>
      <xdr:rowOff>133350</xdr:rowOff>
    </xdr:to>
    <xdr:sp>
      <xdr:nvSpPr>
        <xdr:cNvPr id="20" name="Oval 145"/>
        <xdr:cNvSpPr>
          <a:spLocks/>
        </xdr:cNvSpPr>
      </xdr:nvSpPr>
      <xdr:spPr>
        <a:xfrm>
          <a:off x="6953250" y="3495675"/>
          <a:ext cx="66675" cy="666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 editAs="oneCell">
    <xdr:from>
      <xdr:col>71</xdr:col>
      <xdr:colOff>66675</xdr:colOff>
      <xdr:row>14</xdr:row>
      <xdr:rowOff>142875</xdr:rowOff>
    </xdr:from>
    <xdr:to>
      <xdr:col>90</xdr:col>
      <xdr:colOff>19050</xdr:colOff>
      <xdr:row>18</xdr:row>
      <xdr:rowOff>9525</xdr:rowOff>
    </xdr:to>
    <xdr:pic>
      <xdr:nvPicPr>
        <xdr:cNvPr id="21" name="Picture 15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77050" y="219075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57150</xdr:colOff>
      <xdr:row>15</xdr:row>
      <xdr:rowOff>0</xdr:rowOff>
    </xdr:from>
    <xdr:to>
      <xdr:col>92</xdr:col>
      <xdr:colOff>66675</xdr:colOff>
      <xdr:row>15</xdr:row>
      <xdr:rowOff>152400</xdr:rowOff>
    </xdr:to>
    <xdr:sp>
      <xdr:nvSpPr>
        <xdr:cNvPr id="22" name="AutoShape 159"/>
        <xdr:cNvSpPr>
          <a:spLocks/>
        </xdr:cNvSpPr>
      </xdr:nvSpPr>
      <xdr:spPr>
        <a:xfrm rot="10800000">
          <a:off x="8677275" y="2219325"/>
          <a:ext cx="200025" cy="152400"/>
        </a:xfrm>
        <a:prstGeom prst="chevr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90</xdr:col>
      <xdr:colOff>57150</xdr:colOff>
      <xdr:row>17</xdr:row>
      <xdr:rowOff>0</xdr:rowOff>
    </xdr:from>
    <xdr:to>
      <xdr:col>92</xdr:col>
      <xdr:colOff>66675</xdr:colOff>
      <xdr:row>17</xdr:row>
      <xdr:rowOff>152400</xdr:rowOff>
    </xdr:to>
    <xdr:sp>
      <xdr:nvSpPr>
        <xdr:cNvPr id="23" name="AutoShape 160"/>
        <xdr:cNvSpPr>
          <a:spLocks/>
        </xdr:cNvSpPr>
      </xdr:nvSpPr>
      <xdr:spPr>
        <a:xfrm rot="10800000">
          <a:off x="8677275" y="2562225"/>
          <a:ext cx="200025" cy="152400"/>
        </a:xfrm>
        <a:prstGeom prst="chevr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69</xdr:col>
      <xdr:colOff>19050</xdr:colOff>
      <xdr:row>16</xdr:row>
      <xdr:rowOff>0</xdr:rowOff>
    </xdr:from>
    <xdr:to>
      <xdr:col>71</xdr:col>
      <xdr:colOff>28575</xdr:colOff>
      <xdr:row>17</xdr:row>
      <xdr:rowOff>0</xdr:rowOff>
    </xdr:to>
    <xdr:sp>
      <xdr:nvSpPr>
        <xdr:cNvPr id="24" name="AutoShape 161"/>
        <xdr:cNvSpPr>
          <a:spLocks/>
        </xdr:cNvSpPr>
      </xdr:nvSpPr>
      <xdr:spPr>
        <a:xfrm rot="10800000">
          <a:off x="6638925" y="2390775"/>
          <a:ext cx="200025" cy="171450"/>
        </a:xfrm>
        <a:prstGeom prst="chevron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U105"/>
  <sheetViews>
    <sheetView tabSelected="1" workbookViewId="0" topLeftCell="A1">
      <selection activeCell="BT14" sqref="BT14"/>
    </sheetView>
  </sheetViews>
  <sheetFormatPr defaultColWidth="9.140625" defaultRowHeight="12.75"/>
  <cols>
    <col min="1" max="1" width="2.140625" style="11" customWidth="1"/>
    <col min="2" max="23" width="1.421875" style="11" customWidth="1"/>
    <col min="24" max="24" width="1.421875" style="18" customWidth="1"/>
    <col min="25" max="29" width="1.421875" style="11" customWidth="1"/>
    <col min="30" max="34" width="1.421875" style="16" customWidth="1"/>
    <col min="35" max="35" width="1.421875" style="15" customWidth="1"/>
    <col min="36" max="99" width="1.421875" style="11" customWidth="1"/>
    <col min="100" max="16384" width="1.421875" style="11" hidden="1" customWidth="1"/>
  </cols>
  <sheetData>
    <row r="1" spans="1:125" ht="3.7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1"/>
      <c r="Y1" s="12"/>
      <c r="Z1" s="12"/>
      <c r="AA1" s="12"/>
      <c r="AB1" s="12"/>
      <c r="AC1" s="12"/>
      <c r="AD1" s="22"/>
      <c r="AE1" s="22"/>
      <c r="AF1" s="22"/>
      <c r="AG1" s="22"/>
      <c r="AH1" s="22"/>
      <c r="AI1" s="23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ht="4.5" customHeight="1" thickBot="1">
      <c r="A2" s="12"/>
      <c r="B2" s="27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29"/>
      <c r="AV2" s="12"/>
      <c r="AW2" s="27"/>
      <c r="AX2" s="43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6"/>
      <c r="BO2" s="146"/>
      <c r="BP2" s="146"/>
      <c r="BQ2" s="146"/>
      <c r="BR2" s="146"/>
      <c r="BS2" s="146"/>
      <c r="BT2" s="51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52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43"/>
      <c r="CR2" s="29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</row>
    <row r="3" spans="1:125" ht="12.75" customHeight="1" thickBot="1">
      <c r="A3" s="12"/>
      <c r="B3" s="28"/>
      <c r="C3" s="137" t="s">
        <v>87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17"/>
      <c r="AJ3" s="142" t="s">
        <v>88</v>
      </c>
      <c r="AK3" s="143"/>
      <c r="AL3" s="143"/>
      <c r="AM3" s="143"/>
      <c r="AN3" s="143"/>
      <c r="AO3" s="143"/>
      <c r="AP3" s="143"/>
      <c r="AQ3" s="143"/>
      <c r="AR3" s="143"/>
      <c r="AS3" s="143"/>
      <c r="AT3" s="144"/>
      <c r="AU3" s="30"/>
      <c r="AV3" s="12"/>
      <c r="AW3" s="28"/>
      <c r="AX3" s="25"/>
      <c r="AY3" s="140" t="s">
        <v>78</v>
      </c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38" t="s">
        <v>64</v>
      </c>
      <c r="BO3" s="138"/>
      <c r="BP3" s="138"/>
      <c r="BQ3" s="138"/>
      <c r="BR3" s="138"/>
      <c r="BS3" s="138"/>
      <c r="BT3" s="124"/>
      <c r="BU3" s="128" t="s">
        <v>65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5"/>
      <c r="CF3" s="128" t="s">
        <v>66</v>
      </c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25"/>
      <c r="CR3" s="30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</row>
    <row r="4" spans="1:125" ht="5.25" customHeight="1" thickBot="1" thickTop="1">
      <c r="A4" s="12"/>
      <c r="B4" s="28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30"/>
      <c r="AV4" s="12"/>
      <c r="AW4" s="28"/>
      <c r="AX4" s="25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39"/>
      <c r="BO4" s="139"/>
      <c r="BP4" s="139"/>
      <c r="BQ4" s="139"/>
      <c r="BR4" s="139"/>
      <c r="BS4" s="139"/>
      <c r="BT4" s="124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5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25"/>
      <c r="CR4" s="30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</row>
    <row r="5" spans="1:125" ht="13.5" customHeight="1" thickBot="1">
      <c r="A5" s="12"/>
      <c r="B5" s="28"/>
      <c r="C5" s="221" t="s">
        <v>67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3"/>
      <c r="X5" s="53" t="s">
        <v>70</v>
      </c>
      <c r="Y5" s="284">
        <v>1024</v>
      </c>
      <c r="Z5" s="285"/>
      <c r="AA5" s="285"/>
      <c r="AB5" s="285"/>
      <c r="AC5" s="285"/>
      <c r="AD5" s="285"/>
      <c r="AE5" s="285"/>
      <c r="AF5" s="285"/>
      <c r="AG5" s="285"/>
      <c r="AH5" s="286"/>
      <c r="AI5" s="53" t="s">
        <v>70</v>
      </c>
      <c r="AJ5" s="226">
        <f>Y5*3.28</f>
        <v>3358.72</v>
      </c>
      <c r="AK5" s="227"/>
      <c r="AL5" s="227"/>
      <c r="AM5" s="227"/>
      <c r="AN5" s="227"/>
      <c r="AO5" s="227"/>
      <c r="AP5" s="227"/>
      <c r="AQ5" s="228" t="s">
        <v>1</v>
      </c>
      <c r="AR5" s="228"/>
      <c r="AS5" s="228"/>
      <c r="AT5" s="229"/>
      <c r="AU5" s="30"/>
      <c r="AV5" s="12"/>
      <c r="AW5" s="28"/>
      <c r="AX5" s="25"/>
      <c r="AY5" s="170" t="s">
        <v>76</v>
      </c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 t="s">
        <v>45</v>
      </c>
      <c r="BO5" s="165"/>
      <c r="BP5" s="165"/>
      <c r="BQ5" s="165"/>
      <c r="BR5" s="165"/>
      <c r="BS5" s="166"/>
      <c r="BT5" s="53" t="s">
        <v>70</v>
      </c>
      <c r="BU5" s="297">
        <f>BA16</f>
        <v>12000</v>
      </c>
      <c r="BV5" s="298"/>
      <c r="BW5" s="298"/>
      <c r="BX5" s="298"/>
      <c r="BY5" s="298"/>
      <c r="BZ5" s="298"/>
      <c r="CA5" s="245" t="s">
        <v>92</v>
      </c>
      <c r="CB5" s="245"/>
      <c r="CC5" s="245"/>
      <c r="CD5" s="246"/>
      <c r="CE5" s="53" t="s">
        <v>70</v>
      </c>
      <c r="CF5" s="157">
        <f>mflow3*SpVol3/60</f>
        <v>7058.379179413603</v>
      </c>
      <c r="CG5" s="158"/>
      <c r="CH5" s="158"/>
      <c r="CI5" s="158"/>
      <c r="CJ5" s="158"/>
      <c r="CK5" s="245" t="s">
        <v>75</v>
      </c>
      <c r="CL5" s="245"/>
      <c r="CM5" s="245"/>
      <c r="CN5" s="245"/>
      <c r="CO5" s="245"/>
      <c r="CP5" s="246"/>
      <c r="CQ5" s="25"/>
      <c r="CR5" s="30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</row>
    <row r="6" spans="1:125" ht="13.5" customHeight="1" thickBot="1">
      <c r="A6" s="12"/>
      <c r="B6" s="28"/>
      <c r="C6" s="218" t="s">
        <v>68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20"/>
      <c r="X6" s="53" t="s">
        <v>70</v>
      </c>
      <c r="Y6" s="291">
        <f>AtmPress*0.068</f>
        <v>0.883851807801484</v>
      </c>
      <c r="Z6" s="292"/>
      <c r="AA6" s="292"/>
      <c r="AB6" s="292"/>
      <c r="AC6" s="292"/>
      <c r="AD6" s="293" t="s">
        <v>50</v>
      </c>
      <c r="AE6" s="293"/>
      <c r="AF6" s="293"/>
      <c r="AG6" s="293"/>
      <c r="AH6" s="294"/>
      <c r="AI6" s="53" t="s">
        <v>70</v>
      </c>
      <c r="AJ6" s="295">
        <f>14.696*(1-0.0000068753*Elevation)^5.2559</f>
        <v>12.997820702962999</v>
      </c>
      <c r="AK6" s="296"/>
      <c r="AL6" s="296"/>
      <c r="AM6" s="296"/>
      <c r="AN6" s="296"/>
      <c r="AO6" s="185" t="s">
        <v>3</v>
      </c>
      <c r="AP6" s="185"/>
      <c r="AQ6" s="185"/>
      <c r="AR6" s="185"/>
      <c r="AS6" s="185"/>
      <c r="AT6" s="186"/>
      <c r="AU6" s="30"/>
      <c r="AV6" s="12"/>
      <c r="AW6" s="28"/>
      <c r="AX6" s="25"/>
      <c r="AY6" s="170" t="s">
        <v>55</v>
      </c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 t="s">
        <v>38</v>
      </c>
      <c r="BO6" s="165"/>
      <c r="BP6" s="165"/>
      <c r="BQ6" s="165"/>
      <c r="BR6" s="165"/>
      <c r="BS6" s="166"/>
      <c r="BT6" s="53" t="s">
        <v>70</v>
      </c>
      <c r="BU6" s="132">
        <f>(CF6-32)*5/9</f>
        <v>34.267809682481975</v>
      </c>
      <c r="BV6" s="133"/>
      <c r="BW6" s="133"/>
      <c r="BX6" s="133"/>
      <c r="BY6" s="133"/>
      <c r="BZ6" s="134" t="s">
        <v>93</v>
      </c>
      <c r="CA6" s="134"/>
      <c r="CB6" s="134"/>
      <c r="CC6" s="134"/>
      <c r="CD6" s="135"/>
      <c r="CE6" s="53" t="s">
        <v>70</v>
      </c>
      <c r="CF6" s="153">
        <f>Tdb2-(Tdb2-Tdb1)*(mflow1/mflow3)</f>
        <v>93.68205742846756</v>
      </c>
      <c r="CG6" s="154"/>
      <c r="CH6" s="154"/>
      <c r="CI6" s="154"/>
      <c r="CJ6" s="154"/>
      <c r="CK6" s="155" t="s">
        <v>0</v>
      </c>
      <c r="CL6" s="155"/>
      <c r="CM6" s="155"/>
      <c r="CN6" s="155"/>
      <c r="CO6" s="155"/>
      <c r="CP6" s="156"/>
      <c r="CQ6" s="25"/>
      <c r="CR6" s="30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</row>
    <row r="7" spans="1:125" ht="13.5" customHeight="1" thickBot="1">
      <c r="A7" s="12"/>
      <c r="B7" s="28"/>
      <c r="C7" s="191" t="s">
        <v>69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53" t="s">
        <v>70</v>
      </c>
      <c r="Y7" s="287">
        <f>APinHg*2.54</f>
        <v>67.21811018542269</v>
      </c>
      <c r="Z7" s="288"/>
      <c r="AA7" s="288"/>
      <c r="AB7" s="288"/>
      <c r="AC7" s="288"/>
      <c r="AD7" s="289" t="s">
        <v>106</v>
      </c>
      <c r="AE7" s="289"/>
      <c r="AF7" s="289"/>
      <c r="AG7" s="289"/>
      <c r="AH7" s="290"/>
      <c r="AI7" s="53" t="s">
        <v>70</v>
      </c>
      <c r="AJ7" s="281">
        <f>AtmPress*2.03602</f>
        <v>26.463822907646726</v>
      </c>
      <c r="AK7" s="282"/>
      <c r="AL7" s="282"/>
      <c r="AM7" s="282"/>
      <c r="AN7" s="282"/>
      <c r="AO7" s="183" t="s">
        <v>4</v>
      </c>
      <c r="AP7" s="183"/>
      <c r="AQ7" s="183"/>
      <c r="AR7" s="183"/>
      <c r="AS7" s="183"/>
      <c r="AT7" s="184"/>
      <c r="AU7" s="30"/>
      <c r="AV7" s="12"/>
      <c r="AW7" s="28"/>
      <c r="AX7" s="25"/>
      <c r="AY7" s="170" t="s">
        <v>56</v>
      </c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 t="s">
        <v>39</v>
      </c>
      <c r="BO7" s="165"/>
      <c r="BP7" s="165"/>
      <c r="BQ7" s="165"/>
      <c r="BR7" s="165"/>
      <c r="BS7" s="166"/>
      <c r="BT7" s="53" t="s">
        <v>70</v>
      </c>
      <c r="BU7" s="132">
        <f>(CF7-32)*5/9</f>
        <v>24.823365238044218</v>
      </c>
      <c r="BV7" s="133"/>
      <c r="BW7" s="133"/>
      <c r="BX7" s="133"/>
      <c r="BY7" s="133"/>
      <c r="BZ7" s="134" t="s">
        <v>93</v>
      </c>
      <c r="CA7" s="134"/>
      <c r="CB7" s="134"/>
      <c r="CC7" s="134"/>
      <c r="CD7" s="135"/>
      <c r="CE7" s="53" t="s">
        <v>70</v>
      </c>
      <c r="CF7" s="153">
        <f>Twbfind(Tdb3,HRatio3,Elevation)</f>
        <v>76.6820574284796</v>
      </c>
      <c r="CG7" s="154"/>
      <c r="CH7" s="154"/>
      <c r="CI7" s="154"/>
      <c r="CJ7" s="154"/>
      <c r="CK7" s="155" t="s">
        <v>0</v>
      </c>
      <c r="CL7" s="155"/>
      <c r="CM7" s="155"/>
      <c r="CN7" s="155"/>
      <c r="CO7" s="155"/>
      <c r="CP7" s="156"/>
      <c r="CQ7" s="25"/>
      <c r="CR7" s="30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</row>
    <row r="8" spans="1:125" ht="13.5" customHeight="1" thickBot="1">
      <c r="A8" s="12"/>
      <c r="B8" s="3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54"/>
      <c r="Y8" s="32"/>
      <c r="Z8" s="32"/>
      <c r="AA8" s="32"/>
      <c r="AB8" s="32"/>
      <c r="AC8" s="32"/>
      <c r="AD8" s="33"/>
      <c r="AE8" s="33"/>
      <c r="AF8" s="33"/>
      <c r="AG8" s="33"/>
      <c r="AH8" s="33"/>
      <c r="AI8" s="54"/>
      <c r="AJ8" s="32"/>
      <c r="AK8" s="32"/>
      <c r="AL8" s="32"/>
      <c r="AM8" s="32"/>
      <c r="AN8" s="32"/>
      <c r="AO8" s="33"/>
      <c r="AP8" s="33"/>
      <c r="AQ8" s="33"/>
      <c r="AR8" s="33"/>
      <c r="AS8" s="33"/>
      <c r="AT8" s="33"/>
      <c r="AU8" s="34"/>
      <c r="AV8" s="12"/>
      <c r="AW8" s="28"/>
      <c r="AX8" s="25"/>
      <c r="AY8" s="170" t="s">
        <v>57</v>
      </c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 t="s">
        <v>37</v>
      </c>
      <c r="BO8" s="165"/>
      <c r="BP8" s="165"/>
      <c r="BQ8" s="165"/>
      <c r="BR8" s="165"/>
      <c r="BS8" s="166"/>
      <c r="BT8" s="53" t="s">
        <v>70</v>
      </c>
      <c r="BU8" s="132">
        <f>CF8</f>
        <v>47.9943128568757</v>
      </c>
      <c r="BV8" s="133"/>
      <c r="BW8" s="133"/>
      <c r="BX8" s="133"/>
      <c r="BY8" s="133"/>
      <c r="BZ8" s="155" t="s">
        <v>53</v>
      </c>
      <c r="CA8" s="155"/>
      <c r="CB8" s="155"/>
      <c r="CC8" s="155"/>
      <c r="CD8" s="156"/>
      <c r="CE8" s="53" t="s">
        <v>70</v>
      </c>
      <c r="CF8" s="153">
        <f>RelHum(Tdb3,Twb3,Elevation)</f>
        <v>47.9943128568757</v>
      </c>
      <c r="CG8" s="154"/>
      <c r="CH8" s="154"/>
      <c r="CI8" s="154"/>
      <c r="CJ8" s="154"/>
      <c r="CK8" s="155" t="s">
        <v>5</v>
      </c>
      <c r="CL8" s="155"/>
      <c r="CM8" s="155"/>
      <c r="CN8" s="155"/>
      <c r="CO8" s="155"/>
      <c r="CP8" s="156"/>
      <c r="CQ8" s="25"/>
      <c r="CR8" s="30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</row>
    <row r="9" spans="1:125" ht="13.5" customHeight="1" thickBot="1">
      <c r="A9" s="12"/>
      <c r="B9" s="322" t="s">
        <v>85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12"/>
      <c r="AW9" s="28"/>
      <c r="AX9" s="25"/>
      <c r="AY9" s="170" t="s">
        <v>58</v>
      </c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 t="s">
        <v>40</v>
      </c>
      <c r="BO9" s="165"/>
      <c r="BP9" s="165"/>
      <c r="BQ9" s="165"/>
      <c r="BR9" s="165"/>
      <c r="BS9" s="166"/>
      <c r="BT9" s="53" t="s">
        <v>70</v>
      </c>
      <c r="BU9" s="132">
        <f>cp/4.187</f>
        <v>0.05852144827171898</v>
      </c>
      <c r="BV9" s="133"/>
      <c r="BW9" s="133"/>
      <c r="BX9" s="133"/>
      <c r="BY9" s="133"/>
      <c r="BZ9" s="155" t="s">
        <v>94</v>
      </c>
      <c r="CA9" s="155"/>
      <c r="CB9" s="155"/>
      <c r="CC9" s="155"/>
      <c r="CD9" s="156"/>
      <c r="CE9" s="53" t="s">
        <v>70</v>
      </c>
      <c r="CF9" s="151">
        <f>0.24+HRatio3*0.444</f>
        <v>0.24820634081938722</v>
      </c>
      <c r="CG9" s="152"/>
      <c r="CH9" s="152"/>
      <c r="CI9" s="152"/>
      <c r="CJ9" s="152"/>
      <c r="CK9" s="155" t="s">
        <v>6</v>
      </c>
      <c r="CL9" s="155"/>
      <c r="CM9" s="155"/>
      <c r="CN9" s="155"/>
      <c r="CO9" s="155"/>
      <c r="CP9" s="156"/>
      <c r="CQ9" s="25"/>
      <c r="CR9" s="30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</row>
    <row r="10" spans="1:125" s="20" customFormat="1" ht="13.5" customHeight="1" thickBot="1">
      <c r="A10" s="19"/>
      <c r="B10" s="37"/>
      <c r="C10" s="224" t="s">
        <v>79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02" t="s">
        <v>64</v>
      </c>
      <c r="S10" s="202"/>
      <c r="T10" s="202"/>
      <c r="U10" s="202"/>
      <c r="V10" s="202"/>
      <c r="W10" s="202"/>
      <c r="X10" s="51"/>
      <c r="Y10" s="225" t="s">
        <v>65</v>
      </c>
      <c r="Z10" s="225"/>
      <c r="AA10" s="225"/>
      <c r="AB10" s="225"/>
      <c r="AC10" s="225"/>
      <c r="AD10" s="225"/>
      <c r="AE10" s="225"/>
      <c r="AF10" s="225"/>
      <c r="AG10" s="225"/>
      <c r="AH10" s="225"/>
      <c r="AI10" s="121"/>
      <c r="AJ10" s="225" t="s">
        <v>66</v>
      </c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38"/>
      <c r="AV10" s="19"/>
      <c r="AW10" s="28"/>
      <c r="AX10" s="25"/>
      <c r="AY10" s="170" t="s">
        <v>59</v>
      </c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 t="s">
        <v>41</v>
      </c>
      <c r="BO10" s="165"/>
      <c r="BP10" s="165"/>
      <c r="BQ10" s="165"/>
      <c r="BR10" s="165"/>
      <c r="BS10" s="166"/>
      <c r="BT10" s="53" t="s">
        <v>70</v>
      </c>
      <c r="BU10" s="132">
        <f>CF10*0.252</f>
        <v>10.801394854274355</v>
      </c>
      <c r="BV10" s="133"/>
      <c r="BW10" s="133"/>
      <c r="BX10" s="133"/>
      <c r="BY10" s="133"/>
      <c r="BZ10" s="155" t="s">
        <v>54</v>
      </c>
      <c r="CA10" s="155"/>
      <c r="CB10" s="155"/>
      <c r="CC10" s="155"/>
      <c r="CD10" s="156"/>
      <c r="CE10" s="53" t="s">
        <v>70</v>
      </c>
      <c r="CF10" s="153">
        <f>0.24*Tdb3+HRatio3*(1061+0.444*Tdb3)</f>
        <v>42.862677993152204</v>
      </c>
      <c r="CG10" s="154"/>
      <c r="CH10" s="154"/>
      <c r="CI10" s="154"/>
      <c r="CJ10" s="154"/>
      <c r="CK10" s="155" t="s">
        <v>7</v>
      </c>
      <c r="CL10" s="155"/>
      <c r="CM10" s="155"/>
      <c r="CN10" s="155"/>
      <c r="CO10" s="155"/>
      <c r="CP10" s="156"/>
      <c r="CQ10" s="25"/>
      <c r="CR10" s="30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</row>
    <row r="11" spans="1:125" ht="13.5" customHeight="1">
      <c r="A11" s="12"/>
      <c r="B11" s="44"/>
      <c r="C11" s="203" t="s">
        <v>73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 t="s">
        <v>26</v>
      </c>
      <c r="S11" s="204"/>
      <c r="T11" s="204"/>
      <c r="U11" s="204"/>
      <c r="V11" s="204"/>
      <c r="W11" s="205"/>
      <c r="X11" s="53"/>
      <c r="Y11" s="209">
        <v>2000</v>
      </c>
      <c r="Z11" s="210"/>
      <c r="AA11" s="210"/>
      <c r="AB11" s="210"/>
      <c r="AC11" s="210"/>
      <c r="AD11" s="210"/>
      <c r="AE11" s="200" t="s">
        <v>105</v>
      </c>
      <c r="AF11" s="200"/>
      <c r="AG11" s="200"/>
      <c r="AH11" s="201"/>
      <c r="AI11" s="55"/>
      <c r="AJ11" s="267">
        <f>Y11/1.7</f>
        <v>1176.4705882352941</v>
      </c>
      <c r="AK11" s="268"/>
      <c r="AL11" s="268"/>
      <c r="AM11" s="268"/>
      <c r="AN11" s="268"/>
      <c r="AO11" s="171" t="s">
        <v>75</v>
      </c>
      <c r="AP11" s="171"/>
      <c r="AQ11" s="171"/>
      <c r="AR11" s="171"/>
      <c r="AS11" s="171"/>
      <c r="AT11" s="172"/>
      <c r="AU11" s="45"/>
      <c r="AV11" s="12"/>
      <c r="AW11" s="28"/>
      <c r="AX11" s="25"/>
      <c r="AY11" s="170" t="s">
        <v>60</v>
      </c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 t="s">
        <v>42</v>
      </c>
      <c r="BO11" s="165"/>
      <c r="BP11" s="165"/>
      <c r="BQ11" s="165"/>
      <c r="BR11" s="165"/>
      <c r="BS11" s="166"/>
      <c r="BT11" s="53" t="s">
        <v>70</v>
      </c>
      <c r="BU11" s="175">
        <f>SpVol1*0.06242</f>
        <v>0.9754724339218055</v>
      </c>
      <c r="BV11" s="176"/>
      <c r="BW11" s="176"/>
      <c r="BX11" s="176"/>
      <c r="BY11" s="176"/>
      <c r="BZ11" s="155" t="s">
        <v>95</v>
      </c>
      <c r="CA11" s="155"/>
      <c r="CB11" s="155"/>
      <c r="CC11" s="155"/>
      <c r="CD11" s="156"/>
      <c r="CE11" s="53" t="s">
        <v>70</v>
      </c>
      <c r="CF11" s="159">
        <f>0.7543*(Tdb3+459.67)*(1+1.6078*HRatio3)/APinHg</f>
        <v>16.240924757021013</v>
      </c>
      <c r="CG11" s="160"/>
      <c r="CH11" s="160"/>
      <c r="CI11" s="160"/>
      <c r="CJ11" s="160"/>
      <c r="CK11" s="155" t="s">
        <v>8</v>
      </c>
      <c r="CL11" s="155"/>
      <c r="CM11" s="155"/>
      <c r="CN11" s="155"/>
      <c r="CO11" s="155"/>
      <c r="CP11" s="156"/>
      <c r="CQ11" s="25"/>
      <c r="CR11" s="30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</row>
    <row r="12" spans="1:125" ht="13.5" customHeight="1" thickBot="1">
      <c r="A12" s="12"/>
      <c r="B12" s="28"/>
      <c r="C12" s="203" t="s">
        <v>55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 t="s">
        <v>10</v>
      </c>
      <c r="S12" s="204"/>
      <c r="T12" s="204"/>
      <c r="U12" s="204"/>
      <c r="V12" s="204"/>
      <c r="W12" s="205"/>
      <c r="X12" s="53" t="s">
        <v>70</v>
      </c>
      <c r="Y12" s="197">
        <v>26</v>
      </c>
      <c r="Z12" s="198"/>
      <c r="AA12" s="198"/>
      <c r="AB12" s="198"/>
      <c r="AC12" s="198"/>
      <c r="AD12" s="198"/>
      <c r="AE12" s="198"/>
      <c r="AF12" s="198"/>
      <c r="AG12" s="198"/>
      <c r="AH12" s="199"/>
      <c r="AI12" s="55" t="s">
        <v>70</v>
      </c>
      <c r="AJ12" s="187">
        <f>(9/5*Y12)+32</f>
        <v>78.80000000000001</v>
      </c>
      <c r="AK12" s="188"/>
      <c r="AL12" s="188"/>
      <c r="AM12" s="188"/>
      <c r="AN12" s="188"/>
      <c r="AO12" s="181" t="s">
        <v>0</v>
      </c>
      <c r="AP12" s="181"/>
      <c r="AQ12" s="181"/>
      <c r="AR12" s="181"/>
      <c r="AS12" s="181"/>
      <c r="AT12" s="182"/>
      <c r="AU12" s="30"/>
      <c r="AV12" s="12"/>
      <c r="AW12" s="28"/>
      <c r="AX12" s="25"/>
      <c r="AY12" s="170" t="s">
        <v>61</v>
      </c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 t="s">
        <v>43</v>
      </c>
      <c r="BO12" s="165"/>
      <c r="BP12" s="165"/>
      <c r="BQ12" s="165"/>
      <c r="BR12" s="165"/>
      <c r="BS12" s="166"/>
      <c r="BT12" s="53" t="s">
        <v>70</v>
      </c>
      <c r="BU12" s="132">
        <f>(CF12-32)*5/9</f>
        <v>21.64650837058448</v>
      </c>
      <c r="BV12" s="133"/>
      <c r="BW12" s="133"/>
      <c r="BX12" s="133"/>
      <c r="BY12" s="133"/>
      <c r="BZ12" s="134" t="s">
        <v>93</v>
      </c>
      <c r="CA12" s="134"/>
      <c r="CB12" s="134"/>
      <c r="CC12" s="134"/>
      <c r="CD12" s="135"/>
      <c r="CE12" s="53" t="s">
        <v>70</v>
      </c>
      <c r="CF12" s="153">
        <f>DewPoint(AtmPress,HRatio3)</f>
        <v>70.96371506705206</v>
      </c>
      <c r="CG12" s="154"/>
      <c r="CH12" s="154"/>
      <c r="CI12" s="154"/>
      <c r="CJ12" s="154"/>
      <c r="CK12" s="155" t="s">
        <v>0</v>
      </c>
      <c r="CL12" s="155"/>
      <c r="CM12" s="155"/>
      <c r="CN12" s="155"/>
      <c r="CO12" s="155"/>
      <c r="CP12" s="156"/>
      <c r="CQ12" s="25"/>
      <c r="CR12" s="30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</row>
    <row r="13" spans="1:154" ht="13.5" customHeight="1" thickBot="1" thickTop="1">
      <c r="A13" s="12"/>
      <c r="B13" s="28"/>
      <c r="C13" s="203" t="s">
        <v>56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 t="s">
        <v>17</v>
      </c>
      <c r="S13" s="204"/>
      <c r="T13" s="204"/>
      <c r="U13" s="204"/>
      <c r="V13" s="204"/>
      <c r="W13" s="205"/>
      <c r="X13" s="53" t="s">
        <v>70</v>
      </c>
      <c r="Y13" s="194">
        <v>18</v>
      </c>
      <c r="Z13" s="195"/>
      <c r="AA13" s="195"/>
      <c r="AB13" s="195"/>
      <c r="AC13" s="195"/>
      <c r="AD13" s="195"/>
      <c r="AE13" s="195"/>
      <c r="AF13" s="195"/>
      <c r="AG13" s="195"/>
      <c r="AH13" s="196"/>
      <c r="AI13" s="55" t="s">
        <v>70</v>
      </c>
      <c r="AJ13" s="187">
        <f>(9/5*Y13)+32</f>
        <v>64.4</v>
      </c>
      <c r="AK13" s="188"/>
      <c r="AL13" s="188"/>
      <c r="AM13" s="188"/>
      <c r="AN13" s="188"/>
      <c r="AO13" s="181" t="s">
        <v>0</v>
      </c>
      <c r="AP13" s="181"/>
      <c r="AQ13" s="181"/>
      <c r="AR13" s="181"/>
      <c r="AS13" s="181"/>
      <c r="AT13" s="182"/>
      <c r="AU13" s="30"/>
      <c r="AV13" s="12"/>
      <c r="AW13" s="28"/>
      <c r="AX13" s="25"/>
      <c r="AY13" s="177" t="s">
        <v>62</v>
      </c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261" t="s">
        <v>44</v>
      </c>
      <c r="BO13" s="261"/>
      <c r="BP13" s="261"/>
      <c r="BQ13" s="261"/>
      <c r="BR13" s="261"/>
      <c r="BS13" s="262"/>
      <c r="BT13" s="53" t="s">
        <v>70</v>
      </c>
      <c r="BU13" s="173">
        <f>CF13*0.1571</f>
        <v>0.00017878538350094518</v>
      </c>
      <c r="BV13" s="174"/>
      <c r="BW13" s="174"/>
      <c r="BX13" s="174"/>
      <c r="BY13" s="174"/>
      <c r="BZ13" s="243" t="s">
        <v>96</v>
      </c>
      <c r="CA13" s="243"/>
      <c r="CB13" s="243"/>
      <c r="CC13" s="243"/>
      <c r="CD13" s="244"/>
      <c r="CE13" s="53" t="s">
        <v>70</v>
      </c>
      <c r="CF13" s="173">
        <f>HRatio3/SpVol3</f>
        <v>0.0011380355410626683</v>
      </c>
      <c r="CG13" s="174"/>
      <c r="CH13" s="174"/>
      <c r="CI13" s="174"/>
      <c r="CJ13" s="174"/>
      <c r="CK13" s="243" t="s">
        <v>91</v>
      </c>
      <c r="CL13" s="243"/>
      <c r="CM13" s="243"/>
      <c r="CN13" s="243"/>
      <c r="CO13" s="243"/>
      <c r="CP13" s="244"/>
      <c r="CQ13" s="25"/>
      <c r="CR13" s="30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263" t="s">
        <v>63</v>
      </c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37" t="s">
        <v>12</v>
      </c>
      <c r="DW13" s="237"/>
      <c r="DX13" s="237"/>
      <c r="DY13" s="237"/>
      <c r="DZ13" s="237"/>
      <c r="EA13" s="238"/>
      <c r="EB13" s="236" t="s">
        <v>70</v>
      </c>
      <c r="EC13" s="232">
        <f>HRatio1/16.01846</f>
        <v>0.0007071379562619296</v>
      </c>
      <c r="ED13" s="233"/>
      <c r="EE13" s="233"/>
      <c r="EF13" s="233"/>
      <c r="EG13" s="233"/>
      <c r="EH13" s="213" t="s">
        <v>71</v>
      </c>
      <c r="EI13" s="213"/>
      <c r="EJ13" s="213"/>
      <c r="EK13" s="213"/>
      <c r="EL13" s="214"/>
      <c r="EM13" s="242" t="s">
        <v>70</v>
      </c>
      <c r="EN13" s="232">
        <f>HumRat(Tdb1,Twb1,Elevation)</f>
        <v>0.01132726106686347</v>
      </c>
      <c r="EO13" s="233"/>
      <c r="EP13" s="233"/>
      <c r="EQ13" s="233"/>
      <c r="ER13" s="233"/>
      <c r="ES13" s="213" t="s">
        <v>51</v>
      </c>
      <c r="ET13" s="213"/>
      <c r="EU13" s="213"/>
      <c r="EV13" s="213"/>
      <c r="EW13" s="213"/>
      <c r="EX13" s="214"/>
    </row>
    <row r="14" spans="1:154" ht="13.5" customHeight="1" thickBot="1" thickTop="1">
      <c r="A14" s="12"/>
      <c r="B14" s="28"/>
      <c r="C14" s="203" t="s">
        <v>57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 t="s">
        <v>11</v>
      </c>
      <c r="S14" s="204"/>
      <c r="T14" s="204"/>
      <c r="U14" s="204"/>
      <c r="V14" s="204"/>
      <c r="W14" s="205"/>
      <c r="X14" s="53" t="s">
        <v>70</v>
      </c>
      <c r="Y14" s="187">
        <f>RelHum1</f>
        <v>47.66050063372219</v>
      </c>
      <c r="Z14" s="188"/>
      <c r="AA14" s="188"/>
      <c r="AB14" s="188"/>
      <c r="AC14" s="188"/>
      <c r="AD14" s="181" t="s">
        <v>53</v>
      </c>
      <c r="AE14" s="181"/>
      <c r="AF14" s="181"/>
      <c r="AG14" s="181"/>
      <c r="AH14" s="182"/>
      <c r="AI14" s="55" t="s">
        <v>70</v>
      </c>
      <c r="AJ14" s="187">
        <f>RelHum(Tdb1,Twb1,Elevation)</f>
        <v>47.66050063372219</v>
      </c>
      <c r="AK14" s="188"/>
      <c r="AL14" s="188"/>
      <c r="AM14" s="188"/>
      <c r="AN14" s="188"/>
      <c r="AO14" s="181" t="s">
        <v>53</v>
      </c>
      <c r="AP14" s="181"/>
      <c r="AQ14" s="181"/>
      <c r="AR14" s="181"/>
      <c r="AS14" s="181"/>
      <c r="AT14" s="182"/>
      <c r="AU14" s="30"/>
      <c r="AV14" s="12"/>
      <c r="AW14" s="28"/>
      <c r="AX14" s="25"/>
      <c r="AY14" s="105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7"/>
      <c r="CQ14" s="25"/>
      <c r="CR14" s="30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265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39"/>
      <c r="DW14" s="239"/>
      <c r="DX14" s="239"/>
      <c r="DY14" s="239"/>
      <c r="DZ14" s="239"/>
      <c r="EA14" s="240"/>
      <c r="EB14" s="236"/>
      <c r="EC14" s="234">
        <f>HRatio1/16.01846*1000</f>
        <v>0.7071379562619297</v>
      </c>
      <c r="ED14" s="235"/>
      <c r="EE14" s="235"/>
      <c r="EF14" s="235"/>
      <c r="EG14" s="235"/>
      <c r="EH14" s="206" t="s">
        <v>72</v>
      </c>
      <c r="EI14" s="206"/>
      <c r="EJ14" s="206"/>
      <c r="EK14" s="206"/>
      <c r="EL14" s="207"/>
      <c r="EM14" s="242"/>
      <c r="EN14" s="234">
        <f>HRatio1*7000</f>
        <v>79.29082746804428</v>
      </c>
      <c r="EO14" s="235"/>
      <c r="EP14" s="235"/>
      <c r="EQ14" s="235"/>
      <c r="ER14" s="235"/>
      <c r="ES14" s="206" t="s">
        <v>52</v>
      </c>
      <c r="ET14" s="206"/>
      <c r="EU14" s="206"/>
      <c r="EV14" s="206"/>
      <c r="EW14" s="206"/>
      <c r="EX14" s="207"/>
    </row>
    <row r="15" spans="1:154" ht="13.5" customHeight="1" thickBot="1" thickTop="1">
      <c r="A15" s="12"/>
      <c r="B15" s="28"/>
      <c r="C15" s="203" t="s">
        <v>58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 t="s">
        <v>13</v>
      </c>
      <c r="S15" s="204"/>
      <c r="T15" s="204"/>
      <c r="U15" s="204"/>
      <c r="V15" s="204"/>
      <c r="W15" s="205"/>
      <c r="X15" s="53" t="s">
        <v>70</v>
      </c>
      <c r="Y15" s="187">
        <f>cp/4.187</f>
        <v>0.05852144827171898</v>
      </c>
      <c r="Z15" s="188"/>
      <c r="AA15" s="188"/>
      <c r="AB15" s="188"/>
      <c r="AC15" s="188"/>
      <c r="AD15" s="181" t="s">
        <v>97</v>
      </c>
      <c r="AE15" s="181"/>
      <c r="AF15" s="181"/>
      <c r="AG15" s="181"/>
      <c r="AH15" s="182"/>
      <c r="AI15" s="55" t="s">
        <v>70</v>
      </c>
      <c r="AJ15" s="187">
        <f>0.24+HRatio1*0.444</f>
        <v>0.24502930391368738</v>
      </c>
      <c r="AK15" s="188"/>
      <c r="AL15" s="188"/>
      <c r="AM15" s="188"/>
      <c r="AN15" s="188"/>
      <c r="AO15" s="181" t="s">
        <v>6</v>
      </c>
      <c r="AP15" s="181"/>
      <c r="AQ15" s="181"/>
      <c r="AR15" s="181"/>
      <c r="AS15" s="181"/>
      <c r="AT15" s="182"/>
      <c r="AU15" s="30"/>
      <c r="AV15" s="12"/>
      <c r="AW15" s="28"/>
      <c r="AX15" s="25"/>
      <c r="AY15" s="100"/>
      <c r="AZ15" s="319" t="s">
        <v>81</v>
      </c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1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09"/>
      <c r="CQ15" s="25"/>
      <c r="CR15" s="30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259" t="s">
        <v>63</v>
      </c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11" t="s">
        <v>20</v>
      </c>
      <c r="DW15" s="211"/>
      <c r="DX15" s="211"/>
      <c r="DY15" s="211"/>
      <c r="DZ15" s="211"/>
      <c r="EA15" s="212"/>
      <c r="EB15" s="241" t="s">
        <v>70</v>
      </c>
      <c r="EC15" s="232">
        <f>HRatio2/16.01846</f>
        <v>0.0012474293597533699</v>
      </c>
      <c r="ED15" s="233"/>
      <c r="EE15" s="233"/>
      <c r="EF15" s="233"/>
      <c r="EG15" s="233"/>
      <c r="EH15" s="213" t="s">
        <v>71</v>
      </c>
      <c r="EI15" s="213"/>
      <c r="EJ15" s="213"/>
      <c r="EK15" s="213"/>
      <c r="EL15" s="214"/>
      <c r="EM15" s="231" t="s">
        <v>70</v>
      </c>
      <c r="EN15" s="232">
        <f>HumRat(Tdb2,Twb2,Elevation)</f>
        <v>0.019981897302034965</v>
      </c>
      <c r="EO15" s="233"/>
      <c r="EP15" s="233"/>
      <c r="EQ15" s="233"/>
      <c r="ER15" s="233"/>
      <c r="ES15" s="213" t="s">
        <v>2</v>
      </c>
      <c r="ET15" s="213"/>
      <c r="EU15" s="213"/>
      <c r="EV15" s="213"/>
      <c r="EW15" s="213"/>
      <c r="EX15" s="214"/>
    </row>
    <row r="16" spans="1:154" ht="13.5" customHeight="1" thickBot="1" thickTop="1">
      <c r="A16" s="12"/>
      <c r="B16" s="28"/>
      <c r="C16" s="203" t="s">
        <v>59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 t="s">
        <v>14</v>
      </c>
      <c r="S16" s="204"/>
      <c r="T16" s="204"/>
      <c r="U16" s="204"/>
      <c r="V16" s="204"/>
      <c r="W16" s="205"/>
      <c r="X16" s="53" t="s">
        <v>70</v>
      </c>
      <c r="Y16" s="187">
        <f>Enal1*0.252</f>
        <v>7.894286351365858</v>
      </c>
      <c r="Z16" s="188"/>
      <c r="AA16" s="188"/>
      <c r="AB16" s="188"/>
      <c r="AC16" s="188"/>
      <c r="AD16" s="181" t="s">
        <v>54</v>
      </c>
      <c r="AE16" s="181"/>
      <c r="AF16" s="181"/>
      <c r="AG16" s="181"/>
      <c r="AH16" s="182"/>
      <c r="AI16" s="55" t="s">
        <v>70</v>
      </c>
      <c r="AJ16" s="187">
        <f>0.24*Tdb1+HRatio1*(1061+0.444*Tdb1)</f>
        <v>31.326533140340707</v>
      </c>
      <c r="AK16" s="188"/>
      <c r="AL16" s="188"/>
      <c r="AM16" s="188"/>
      <c r="AN16" s="188"/>
      <c r="AO16" s="181" t="s">
        <v>7</v>
      </c>
      <c r="AP16" s="181"/>
      <c r="AQ16" s="181"/>
      <c r="AR16" s="181"/>
      <c r="AS16" s="181"/>
      <c r="AT16" s="182"/>
      <c r="AU16" s="30"/>
      <c r="AV16" s="12"/>
      <c r="AW16" s="28"/>
      <c r="AX16" s="25"/>
      <c r="AY16" s="100"/>
      <c r="AZ16" s="118"/>
      <c r="BA16" s="330">
        <f>Y11+Y23</f>
        <v>12000</v>
      </c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1"/>
      <c r="BP16" s="25"/>
      <c r="BQ16" s="25"/>
      <c r="BR16" s="25"/>
      <c r="BS16" s="25"/>
      <c r="BT16" s="12"/>
      <c r="BU16" s="25"/>
      <c r="BV16" s="25"/>
      <c r="BW16" s="25"/>
      <c r="BX16" s="25"/>
      <c r="BY16" s="25"/>
      <c r="BZ16" s="25"/>
      <c r="CA16" s="25"/>
      <c r="CB16" s="25"/>
      <c r="CC16" s="131">
        <f>Y11</f>
        <v>2000</v>
      </c>
      <c r="CD16" s="131"/>
      <c r="CE16" s="131"/>
      <c r="CF16" s="131"/>
      <c r="CG16" s="131"/>
      <c r="CH16" s="131"/>
      <c r="CI16" s="131"/>
      <c r="CJ16" s="131"/>
      <c r="CK16" s="131"/>
      <c r="CL16" s="131"/>
      <c r="CM16" s="12"/>
      <c r="CN16" s="12"/>
      <c r="CO16" s="108"/>
      <c r="CP16" s="109"/>
      <c r="CQ16" s="25"/>
      <c r="CR16" s="30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259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11"/>
      <c r="DW16" s="211"/>
      <c r="DX16" s="211"/>
      <c r="DY16" s="211"/>
      <c r="DZ16" s="211"/>
      <c r="EA16" s="212"/>
      <c r="EB16" s="241"/>
      <c r="EC16" s="234">
        <f>HRatio2/16.01846*1000</f>
        <v>1.2474293597533699</v>
      </c>
      <c r="ED16" s="235"/>
      <c r="EE16" s="235"/>
      <c r="EF16" s="235"/>
      <c r="EG16" s="235"/>
      <c r="EH16" s="206" t="s">
        <v>72</v>
      </c>
      <c r="EI16" s="206"/>
      <c r="EJ16" s="206"/>
      <c r="EK16" s="206"/>
      <c r="EL16" s="207"/>
      <c r="EM16" s="231"/>
      <c r="EN16" s="234">
        <f>HRatio2*7000</f>
        <v>139.87328111424475</v>
      </c>
      <c r="EO16" s="235"/>
      <c r="EP16" s="235"/>
      <c r="EQ16" s="235"/>
      <c r="ER16" s="235"/>
      <c r="ES16" s="206" t="s">
        <v>52</v>
      </c>
      <c r="ET16" s="206"/>
      <c r="EU16" s="206"/>
      <c r="EV16" s="206"/>
      <c r="EW16" s="206"/>
      <c r="EX16" s="207"/>
    </row>
    <row r="17" spans="1:177" ht="13.5" customHeight="1" thickBot="1" thickTop="1">
      <c r="A17" s="12"/>
      <c r="B17" s="28"/>
      <c r="C17" s="203" t="s">
        <v>60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 t="s">
        <v>15</v>
      </c>
      <c r="S17" s="204"/>
      <c r="T17" s="204"/>
      <c r="U17" s="204"/>
      <c r="V17" s="204"/>
      <c r="W17" s="205"/>
      <c r="X17" s="53" t="s">
        <v>70</v>
      </c>
      <c r="Y17" s="189">
        <f>SpVol1*0.06242</f>
        <v>0.9754724339218055</v>
      </c>
      <c r="Z17" s="190"/>
      <c r="AA17" s="190"/>
      <c r="AB17" s="190"/>
      <c r="AC17" s="190"/>
      <c r="AD17" s="181" t="s">
        <v>98</v>
      </c>
      <c r="AE17" s="181"/>
      <c r="AF17" s="181"/>
      <c r="AG17" s="181"/>
      <c r="AH17" s="182"/>
      <c r="AI17" s="55" t="s">
        <v>70</v>
      </c>
      <c r="AJ17" s="189">
        <f>0.7543*(Tdb1+459.67)*(1+1.6078*HRatio1)/APinHg</f>
        <v>15.62756222239355</v>
      </c>
      <c r="AK17" s="190"/>
      <c r="AL17" s="190"/>
      <c r="AM17" s="190"/>
      <c r="AN17" s="190"/>
      <c r="AO17" s="181" t="s">
        <v>8</v>
      </c>
      <c r="AP17" s="181"/>
      <c r="AQ17" s="181"/>
      <c r="AR17" s="181"/>
      <c r="AS17" s="181"/>
      <c r="AT17" s="182"/>
      <c r="AU17" s="30"/>
      <c r="AV17" s="12"/>
      <c r="AW17" s="28"/>
      <c r="AX17" s="25"/>
      <c r="AY17" s="100"/>
      <c r="AZ17" s="118"/>
      <c r="BA17" s="332">
        <f>CF5</f>
        <v>7058.379179413603</v>
      </c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3"/>
      <c r="BP17" s="25"/>
      <c r="BQ17" s="12"/>
      <c r="BR17" s="12"/>
      <c r="BS17" s="108"/>
      <c r="BT17" s="12"/>
      <c r="BU17" s="130">
        <f>BU5</f>
        <v>12000</v>
      </c>
      <c r="BV17" s="130"/>
      <c r="BW17" s="130"/>
      <c r="BX17" s="130"/>
      <c r="BY17" s="130"/>
      <c r="BZ17" s="130"/>
      <c r="CA17" s="130"/>
      <c r="CB17" s="130"/>
      <c r="CC17" s="130"/>
      <c r="CD17" s="130"/>
      <c r="CE17" s="25"/>
      <c r="CF17" s="108"/>
      <c r="CG17" s="108"/>
      <c r="CH17" s="108"/>
      <c r="CI17" s="108"/>
      <c r="CJ17" s="108"/>
      <c r="CK17" s="108"/>
      <c r="CL17" s="108"/>
      <c r="CM17" s="12"/>
      <c r="CN17" s="12"/>
      <c r="CO17" s="108"/>
      <c r="CP17" s="109"/>
      <c r="CQ17" s="25"/>
      <c r="CR17" s="30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259" t="s">
        <v>63</v>
      </c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11" t="s">
        <v>36</v>
      </c>
      <c r="DW17" s="211"/>
      <c r="DX17" s="211"/>
      <c r="DY17" s="211"/>
      <c r="DZ17" s="211"/>
      <c r="EA17" s="212"/>
      <c r="EB17" s="241" t="s">
        <v>70</v>
      </c>
      <c r="EC17" s="232"/>
      <c r="ED17" s="233"/>
      <c r="EE17" s="233"/>
      <c r="EF17" s="233"/>
      <c r="EG17" s="233"/>
      <c r="EH17" s="213" t="s">
        <v>71</v>
      </c>
      <c r="EI17" s="213"/>
      <c r="EJ17" s="213"/>
      <c r="EK17" s="213"/>
      <c r="EL17" s="214"/>
      <c r="EM17" s="231" t="s">
        <v>70</v>
      </c>
      <c r="EN17" s="232"/>
      <c r="EO17" s="233"/>
      <c r="EP17" s="233"/>
      <c r="EQ17" s="233"/>
      <c r="ER17" s="233"/>
      <c r="ES17" s="213" t="s">
        <v>2</v>
      </c>
      <c r="ET17" s="213"/>
      <c r="EU17" s="213"/>
      <c r="EV17" s="213"/>
      <c r="EW17" s="213"/>
      <c r="EX17" s="214"/>
      <c r="FM17" s="50"/>
      <c r="FN17" s="50"/>
      <c r="FO17" s="50"/>
      <c r="FP17" s="50"/>
      <c r="FQ17" s="50"/>
      <c r="FR17" s="50"/>
      <c r="FS17" s="50"/>
      <c r="FT17" s="50"/>
      <c r="FU17" s="50"/>
    </row>
    <row r="18" spans="1:177" ht="13.5" customHeight="1" thickBot="1" thickTop="1">
      <c r="A18" s="12"/>
      <c r="B18" s="28"/>
      <c r="C18" s="203" t="s">
        <v>61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 t="s">
        <v>16</v>
      </c>
      <c r="S18" s="204"/>
      <c r="T18" s="204"/>
      <c r="U18" s="204"/>
      <c r="V18" s="204"/>
      <c r="W18" s="205"/>
      <c r="X18" s="53" t="s">
        <v>70</v>
      </c>
      <c r="Y18" s="187">
        <f>(DewPt1-32)*5/9</f>
        <v>14.073179352070248</v>
      </c>
      <c r="Z18" s="188"/>
      <c r="AA18" s="188"/>
      <c r="AB18" s="188"/>
      <c r="AC18" s="188"/>
      <c r="AD18" s="269" t="s">
        <v>99</v>
      </c>
      <c r="AE18" s="269"/>
      <c r="AF18" s="269"/>
      <c r="AG18" s="269"/>
      <c r="AH18" s="270"/>
      <c r="AI18" s="55" t="s">
        <v>70</v>
      </c>
      <c r="AJ18" s="187">
        <f>DewPoint(AtmPress,HRatio1)</f>
        <v>57.331722833726445</v>
      </c>
      <c r="AK18" s="188"/>
      <c r="AL18" s="188"/>
      <c r="AM18" s="188"/>
      <c r="AN18" s="188"/>
      <c r="AO18" s="181" t="s">
        <v>0</v>
      </c>
      <c r="AP18" s="181"/>
      <c r="AQ18" s="181"/>
      <c r="AR18" s="181"/>
      <c r="AS18" s="181"/>
      <c r="AT18" s="182"/>
      <c r="AU18" s="30"/>
      <c r="AV18" s="12"/>
      <c r="AW18" s="28"/>
      <c r="AX18" s="25"/>
      <c r="AY18" s="100"/>
      <c r="AZ18" s="118"/>
      <c r="BA18" s="301">
        <f>BU6</f>
        <v>34.267809682481975</v>
      </c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2"/>
      <c r="BP18" s="25"/>
      <c r="BQ18" s="126"/>
      <c r="BR18" s="126"/>
      <c r="BS18" s="126"/>
      <c r="BT18" s="127"/>
      <c r="BU18" s="167">
        <f>mflow3*SpVol3/60</f>
        <v>7058.379179413603</v>
      </c>
      <c r="BV18" s="167"/>
      <c r="BW18" s="167"/>
      <c r="BX18" s="167"/>
      <c r="BY18" s="168" t="s">
        <v>75</v>
      </c>
      <c r="BZ18" s="168"/>
      <c r="CA18" s="168"/>
      <c r="CB18" s="168"/>
      <c r="CC18" s="169">
        <f>Y23</f>
        <v>10000</v>
      </c>
      <c r="CD18" s="169"/>
      <c r="CE18" s="169"/>
      <c r="CF18" s="169"/>
      <c r="CG18" s="169"/>
      <c r="CH18" s="169"/>
      <c r="CI18" s="169"/>
      <c r="CJ18" s="169"/>
      <c r="CK18" s="169"/>
      <c r="CL18" s="169"/>
      <c r="CM18" s="12"/>
      <c r="CN18" s="12"/>
      <c r="CO18" s="108"/>
      <c r="CP18" s="102"/>
      <c r="CQ18" s="25"/>
      <c r="CR18" s="30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259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11"/>
      <c r="DW18" s="211"/>
      <c r="DX18" s="211"/>
      <c r="DY18" s="211"/>
      <c r="DZ18" s="211"/>
      <c r="EA18" s="212"/>
      <c r="EB18" s="241"/>
      <c r="EC18" s="234"/>
      <c r="ED18" s="235"/>
      <c r="EE18" s="235"/>
      <c r="EF18" s="235"/>
      <c r="EG18" s="235"/>
      <c r="EH18" s="206" t="s">
        <v>72</v>
      </c>
      <c r="EI18" s="206"/>
      <c r="EJ18" s="206"/>
      <c r="EK18" s="206"/>
      <c r="EL18" s="207"/>
      <c r="EM18" s="231"/>
      <c r="EN18" s="234"/>
      <c r="EO18" s="235"/>
      <c r="EP18" s="235"/>
      <c r="EQ18" s="235"/>
      <c r="ER18" s="235"/>
      <c r="ES18" s="206" t="s">
        <v>52</v>
      </c>
      <c r="ET18" s="206"/>
      <c r="EU18" s="206"/>
      <c r="EV18" s="206"/>
      <c r="EW18" s="206"/>
      <c r="EX18" s="207"/>
      <c r="FM18" s="50"/>
      <c r="FN18" s="50"/>
      <c r="FO18" s="50"/>
      <c r="FP18" s="50"/>
      <c r="FQ18" s="50"/>
      <c r="FR18" s="50"/>
      <c r="FS18" s="50"/>
      <c r="FT18" s="50"/>
      <c r="FU18" s="50"/>
    </row>
    <row r="19" spans="1:154" ht="13.5" customHeight="1" thickBot="1">
      <c r="A19" s="12"/>
      <c r="B19" s="28"/>
      <c r="C19" s="203" t="s">
        <v>62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 t="s">
        <v>44</v>
      </c>
      <c r="S19" s="204"/>
      <c r="T19" s="204"/>
      <c r="U19" s="204"/>
      <c r="V19" s="204"/>
      <c r="W19" s="205"/>
      <c r="X19" s="53" t="s">
        <v>70</v>
      </c>
      <c r="Y19" s="216">
        <f>AJ19*0.1571</f>
        <v>0.00011387014099065907</v>
      </c>
      <c r="Z19" s="217"/>
      <c r="AA19" s="217"/>
      <c r="AB19" s="217"/>
      <c r="AC19" s="217"/>
      <c r="AD19" s="179" t="s">
        <v>100</v>
      </c>
      <c r="AE19" s="179"/>
      <c r="AF19" s="179"/>
      <c r="AG19" s="179"/>
      <c r="AH19" s="180"/>
      <c r="AI19" s="55" t="s">
        <v>70</v>
      </c>
      <c r="AJ19" s="216">
        <f>HRatio1/SpVol1</f>
        <v>0.0007248258497177535</v>
      </c>
      <c r="AK19" s="217"/>
      <c r="AL19" s="217"/>
      <c r="AM19" s="217"/>
      <c r="AN19" s="217"/>
      <c r="AO19" s="179" t="s">
        <v>90</v>
      </c>
      <c r="AP19" s="179"/>
      <c r="AQ19" s="179"/>
      <c r="AR19" s="179"/>
      <c r="AS19" s="179"/>
      <c r="AT19" s="180"/>
      <c r="AU19" s="30"/>
      <c r="AV19" s="12"/>
      <c r="AW19" s="28"/>
      <c r="AX19" s="25"/>
      <c r="AY19" s="100"/>
      <c r="AZ19" s="118"/>
      <c r="BA19" s="303">
        <f>BU7</f>
        <v>24.823365238044218</v>
      </c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4"/>
      <c r="BP19" s="317" t="s">
        <v>82</v>
      </c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25"/>
      <c r="CC19" s="25"/>
      <c r="CD19" s="25"/>
      <c r="CE19" s="25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09"/>
      <c r="CQ19" s="25"/>
      <c r="CR19" s="30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35"/>
      <c r="DW19" s="35"/>
      <c r="DX19" s="35"/>
      <c r="DY19" s="35"/>
      <c r="DZ19" s="35"/>
      <c r="EA19" s="35"/>
      <c r="EB19" s="17"/>
      <c r="EC19" s="26"/>
      <c r="ED19" s="26"/>
      <c r="EE19" s="26"/>
      <c r="EF19" s="26"/>
      <c r="EG19" s="26"/>
      <c r="EH19" s="13"/>
      <c r="EI19" s="13"/>
      <c r="EJ19" s="13"/>
      <c r="EK19" s="13"/>
      <c r="EL19" s="13"/>
      <c r="EM19" s="17"/>
      <c r="EN19" s="26"/>
      <c r="EO19" s="26"/>
      <c r="EP19" s="26"/>
      <c r="EQ19" s="26"/>
      <c r="ER19" s="26"/>
      <c r="ES19" s="13"/>
      <c r="ET19" s="13"/>
      <c r="EU19" s="13"/>
      <c r="EV19" s="13"/>
      <c r="EW19" s="13"/>
      <c r="EX19" s="13"/>
    </row>
    <row r="20" spans="1:154" ht="13.5" customHeight="1" thickBot="1">
      <c r="A20" s="12"/>
      <c r="B20" s="3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41"/>
      <c r="S20" s="41"/>
      <c r="T20" s="41"/>
      <c r="U20" s="41"/>
      <c r="V20" s="41"/>
      <c r="W20" s="41"/>
      <c r="X20" s="54"/>
      <c r="Y20" s="42"/>
      <c r="Z20" s="42"/>
      <c r="AA20" s="42"/>
      <c r="AB20" s="42"/>
      <c r="AC20" s="42"/>
      <c r="AD20" s="33"/>
      <c r="AE20" s="33"/>
      <c r="AF20" s="33"/>
      <c r="AG20" s="33"/>
      <c r="AH20" s="33"/>
      <c r="AI20" s="54"/>
      <c r="AJ20" s="42"/>
      <c r="AK20" s="42"/>
      <c r="AL20" s="42"/>
      <c r="AM20" s="42"/>
      <c r="AN20" s="42"/>
      <c r="AO20" s="33"/>
      <c r="AP20" s="33"/>
      <c r="AQ20" s="33"/>
      <c r="AR20" s="33"/>
      <c r="AS20" s="33"/>
      <c r="AT20" s="33"/>
      <c r="AU20" s="34"/>
      <c r="AV20" s="12"/>
      <c r="AW20" s="28"/>
      <c r="AX20" s="25"/>
      <c r="AY20" s="100"/>
      <c r="AZ20" s="118"/>
      <c r="BA20" s="307">
        <f>BU12</f>
        <v>21.64650837058448</v>
      </c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8"/>
      <c r="BP20" s="317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25"/>
      <c r="CC20" s="314">
        <f>Y26</f>
        <v>46.90808836462273</v>
      </c>
      <c r="CD20" s="314"/>
      <c r="CE20" s="314"/>
      <c r="CF20" s="314"/>
      <c r="CG20" s="305">
        <f>BU8</f>
        <v>47.9943128568757</v>
      </c>
      <c r="CH20" s="305"/>
      <c r="CI20" s="305"/>
      <c r="CJ20" s="305"/>
      <c r="CK20" s="305"/>
      <c r="CL20" s="314">
        <f>Y14</f>
        <v>47.66050063372219</v>
      </c>
      <c r="CM20" s="314"/>
      <c r="CN20" s="314"/>
      <c r="CO20" s="314"/>
      <c r="CP20" s="102"/>
      <c r="CQ20" s="25"/>
      <c r="CR20" s="30"/>
      <c r="CS20" s="12"/>
      <c r="CT20" s="12"/>
      <c r="CU20" s="12"/>
      <c r="CV20" s="12"/>
      <c r="CW20" s="12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316"/>
      <c r="DP20" s="316"/>
      <c r="DQ20" s="316"/>
      <c r="DR20" s="316"/>
      <c r="DS20" s="316"/>
      <c r="DT20" s="14"/>
      <c r="DU20" s="14"/>
      <c r="DV20" s="35"/>
      <c r="DW20" s="35"/>
      <c r="DX20" s="35"/>
      <c r="DY20" s="35"/>
      <c r="DZ20" s="35"/>
      <c r="EA20" s="35"/>
      <c r="EB20" s="17"/>
      <c r="EC20" s="26"/>
      <c r="ED20" s="26"/>
      <c r="EE20" s="26"/>
      <c r="EF20" s="26"/>
      <c r="EG20" s="26"/>
      <c r="EH20" s="13"/>
      <c r="EI20" s="13"/>
      <c r="EJ20" s="13"/>
      <c r="EK20" s="13"/>
      <c r="EL20" s="13"/>
      <c r="EM20" s="17"/>
      <c r="EN20" s="26"/>
      <c r="EO20" s="26"/>
      <c r="EP20" s="26"/>
      <c r="EQ20" s="26"/>
      <c r="ER20" s="26"/>
      <c r="ES20" s="13"/>
      <c r="ET20" s="13"/>
      <c r="EU20" s="13"/>
      <c r="EV20" s="13"/>
      <c r="EW20" s="13"/>
      <c r="EX20" s="13"/>
    </row>
    <row r="21" spans="1:125" s="20" customFormat="1" ht="13.5" customHeight="1" thickBot="1">
      <c r="A21" s="19"/>
      <c r="B21" s="1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5"/>
      <c r="S21" s="35"/>
      <c r="T21" s="35"/>
      <c r="U21" s="35"/>
      <c r="V21" s="35"/>
      <c r="W21" s="35"/>
      <c r="X21" s="53"/>
      <c r="Y21" s="36"/>
      <c r="Z21" s="36"/>
      <c r="AA21" s="36"/>
      <c r="AB21" s="36"/>
      <c r="AC21" s="36"/>
      <c r="AD21" s="13"/>
      <c r="AE21" s="13"/>
      <c r="AF21" s="13"/>
      <c r="AG21" s="13"/>
      <c r="AH21" s="13"/>
      <c r="AI21" s="53"/>
      <c r="AJ21" s="36"/>
      <c r="AK21" s="36"/>
      <c r="AL21" s="36"/>
      <c r="AM21" s="36"/>
      <c r="AN21" s="36"/>
      <c r="AO21" s="13"/>
      <c r="AP21" s="13"/>
      <c r="AQ21" s="13"/>
      <c r="AR21" s="13"/>
      <c r="AS21" s="13"/>
      <c r="AT21" s="13"/>
      <c r="AU21" s="12"/>
      <c r="AV21" s="19"/>
      <c r="AW21" s="44"/>
      <c r="AX21" s="24"/>
      <c r="AY21" s="100"/>
      <c r="AZ21" s="119"/>
      <c r="BA21" s="309">
        <f>BU10</f>
        <v>10.801394854274355</v>
      </c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10"/>
      <c r="BP21" s="140" t="s">
        <v>83</v>
      </c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58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60"/>
      <c r="CP21" s="102"/>
      <c r="CQ21" s="24"/>
      <c r="CR21" s="45"/>
      <c r="CS21" s="12"/>
      <c r="CT21" s="19"/>
      <c r="CU21" s="19"/>
      <c r="CV21" s="19"/>
      <c r="CW21" s="19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19"/>
      <c r="DU21" s="19"/>
    </row>
    <row r="22" spans="1:125" ht="13.5" customHeight="1" thickBot="1">
      <c r="A22" s="12"/>
      <c r="B22" s="37"/>
      <c r="C22" s="283" t="s">
        <v>80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71" t="s">
        <v>64</v>
      </c>
      <c r="S22" s="271"/>
      <c r="T22" s="271"/>
      <c r="U22" s="271"/>
      <c r="V22" s="271"/>
      <c r="W22" s="271"/>
      <c r="X22" s="122"/>
      <c r="Y22" s="208" t="s">
        <v>65</v>
      </c>
      <c r="Z22" s="208"/>
      <c r="AA22" s="208"/>
      <c r="AB22" s="208"/>
      <c r="AC22" s="208"/>
      <c r="AD22" s="208"/>
      <c r="AE22" s="208"/>
      <c r="AF22" s="208"/>
      <c r="AG22" s="208"/>
      <c r="AH22" s="208"/>
      <c r="AI22" s="123"/>
      <c r="AJ22" s="208" t="s">
        <v>66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38"/>
      <c r="AV22" s="12"/>
      <c r="AW22" s="28"/>
      <c r="AX22" s="25"/>
      <c r="AY22" s="100"/>
      <c r="AZ22" s="118"/>
      <c r="BA22" s="324">
        <f>BU8</f>
        <v>47.9943128568757</v>
      </c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5"/>
      <c r="BP22" s="25"/>
      <c r="BQ22" s="61"/>
      <c r="BR22" s="25"/>
      <c r="BS22" s="215">
        <f>BU11</f>
        <v>0.9754724339218055</v>
      </c>
      <c r="BT22" s="215"/>
      <c r="BU22" s="215"/>
      <c r="BV22" s="215"/>
      <c r="BW22" s="215"/>
      <c r="BX22" s="215"/>
      <c r="BY22" s="215"/>
      <c r="BZ22" s="25"/>
      <c r="CA22" s="62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3"/>
      <c r="CM22" s="63"/>
      <c r="CN22" s="63"/>
      <c r="CO22" s="64"/>
      <c r="CP22" s="102"/>
      <c r="CQ22" s="25"/>
      <c r="CR22" s="30"/>
      <c r="CS22" s="12"/>
      <c r="CT22" s="12"/>
      <c r="CU22" s="12"/>
      <c r="CV22" s="12"/>
      <c r="CW22" s="12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12"/>
      <c r="DU22" s="12"/>
    </row>
    <row r="23" spans="1:125" ht="13.5" customHeight="1">
      <c r="A23" s="12"/>
      <c r="B23" s="44"/>
      <c r="C23" s="272" t="s">
        <v>74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 t="s">
        <v>30</v>
      </c>
      <c r="S23" s="273"/>
      <c r="T23" s="273"/>
      <c r="U23" s="273"/>
      <c r="V23" s="273"/>
      <c r="W23" s="274"/>
      <c r="X23" s="53"/>
      <c r="Y23" s="209">
        <v>10000</v>
      </c>
      <c r="Z23" s="210"/>
      <c r="AA23" s="210"/>
      <c r="AB23" s="210"/>
      <c r="AC23" s="210"/>
      <c r="AD23" s="210"/>
      <c r="AE23" s="200" t="s">
        <v>105</v>
      </c>
      <c r="AF23" s="200"/>
      <c r="AG23" s="200"/>
      <c r="AH23" s="201"/>
      <c r="AI23" s="55"/>
      <c r="AJ23" s="267">
        <f>Y23/1.7</f>
        <v>5882.352941176471</v>
      </c>
      <c r="AK23" s="268"/>
      <c r="AL23" s="268"/>
      <c r="AM23" s="268"/>
      <c r="AN23" s="268"/>
      <c r="AO23" s="171" t="s">
        <v>75</v>
      </c>
      <c r="AP23" s="171"/>
      <c r="AQ23" s="171"/>
      <c r="AR23" s="171"/>
      <c r="AS23" s="171"/>
      <c r="AT23" s="172"/>
      <c r="AU23" s="45"/>
      <c r="AV23" s="12"/>
      <c r="AW23" s="28"/>
      <c r="AX23" s="25"/>
      <c r="AY23" s="100"/>
      <c r="AZ23" s="118"/>
      <c r="BA23" s="326">
        <f>BU11</f>
        <v>0.9754724339218055</v>
      </c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7"/>
      <c r="BP23" s="25"/>
      <c r="BQ23" s="25"/>
      <c r="BR23" s="24"/>
      <c r="BS23" s="215"/>
      <c r="BT23" s="215"/>
      <c r="BU23" s="215"/>
      <c r="BV23" s="215"/>
      <c r="BW23" s="215"/>
      <c r="BX23" s="215"/>
      <c r="BY23" s="215"/>
      <c r="BZ23" s="65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7"/>
      <c r="CL23" s="68"/>
      <c r="CM23" s="69"/>
      <c r="CN23" s="69"/>
      <c r="CO23" s="70"/>
      <c r="CP23" s="102"/>
      <c r="CQ23" s="25"/>
      <c r="CR23" s="30"/>
      <c r="CS23" s="12"/>
      <c r="CT23" s="12"/>
      <c r="CU23" s="12"/>
      <c r="CV23" s="12"/>
      <c r="CW23" s="12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12"/>
      <c r="DU23" s="12"/>
    </row>
    <row r="24" spans="1:125" ht="13.5" customHeight="1" thickBot="1">
      <c r="A24" s="12"/>
      <c r="B24" s="28"/>
      <c r="C24" s="272" t="s">
        <v>55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 t="s">
        <v>18</v>
      </c>
      <c r="S24" s="273"/>
      <c r="T24" s="273"/>
      <c r="U24" s="273"/>
      <c r="V24" s="273"/>
      <c r="W24" s="274"/>
      <c r="X24" s="53" t="s">
        <v>70</v>
      </c>
      <c r="Y24" s="197">
        <v>36</v>
      </c>
      <c r="Z24" s="198"/>
      <c r="AA24" s="198"/>
      <c r="AB24" s="198"/>
      <c r="AC24" s="198"/>
      <c r="AD24" s="198"/>
      <c r="AE24" s="198"/>
      <c r="AF24" s="198"/>
      <c r="AG24" s="198"/>
      <c r="AH24" s="199"/>
      <c r="AI24" s="55" t="s">
        <v>70</v>
      </c>
      <c r="AJ24" s="247">
        <f>(9/5*Y24)+32</f>
        <v>96.8</v>
      </c>
      <c r="AK24" s="248"/>
      <c r="AL24" s="248"/>
      <c r="AM24" s="248"/>
      <c r="AN24" s="248"/>
      <c r="AO24" s="251" t="s">
        <v>0</v>
      </c>
      <c r="AP24" s="251"/>
      <c r="AQ24" s="251"/>
      <c r="AR24" s="251"/>
      <c r="AS24" s="251"/>
      <c r="AT24" s="252"/>
      <c r="AU24" s="30"/>
      <c r="AV24" s="12"/>
      <c r="AW24" s="28"/>
      <c r="AX24" s="25"/>
      <c r="AY24" s="100"/>
      <c r="AZ24" s="120"/>
      <c r="BA24" s="328">
        <f>BU13</f>
        <v>0.00017878538350094518</v>
      </c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9"/>
      <c r="BP24" s="25"/>
      <c r="BQ24" s="25"/>
      <c r="BR24" s="25"/>
      <c r="BS24" s="25"/>
      <c r="BT24" s="25"/>
      <c r="BU24" s="25"/>
      <c r="BV24" s="25"/>
      <c r="BW24" s="25"/>
      <c r="BX24" s="25"/>
      <c r="BY24" s="62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71"/>
      <c r="CL24" s="72"/>
      <c r="CM24" s="59"/>
      <c r="CN24" s="59"/>
      <c r="CO24" s="60"/>
      <c r="CP24" s="102"/>
      <c r="CQ24" s="25"/>
      <c r="CR24" s="30"/>
      <c r="CS24" s="12"/>
      <c r="CT24" s="12"/>
      <c r="CU24" s="12"/>
      <c r="CV24" s="12"/>
      <c r="CW24" s="12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316"/>
      <c r="DS24" s="316"/>
      <c r="DT24" s="12"/>
      <c r="DU24" s="12"/>
    </row>
    <row r="25" spans="1:125" ht="13.5" customHeight="1" thickBot="1">
      <c r="A25" s="12"/>
      <c r="B25" s="28"/>
      <c r="C25" s="272" t="s">
        <v>56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 t="s">
        <v>19</v>
      </c>
      <c r="S25" s="273"/>
      <c r="T25" s="273"/>
      <c r="U25" s="273"/>
      <c r="V25" s="273"/>
      <c r="W25" s="274"/>
      <c r="X25" s="53" t="s">
        <v>70</v>
      </c>
      <c r="Y25" s="194">
        <v>26</v>
      </c>
      <c r="Z25" s="195"/>
      <c r="AA25" s="195"/>
      <c r="AB25" s="195"/>
      <c r="AC25" s="195"/>
      <c r="AD25" s="195"/>
      <c r="AE25" s="195"/>
      <c r="AF25" s="195"/>
      <c r="AG25" s="195"/>
      <c r="AH25" s="196"/>
      <c r="AI25" s="55" t="s">
        <v>70</v>
      </c>
      <c r="AJ25" s="247">
        <f>(9/5*Y25)+32</f>
        <v>78.80000000000001</v>
      </c>
      <c r="AK25" s="248"/>
      <c r="AL25" s="248"/>
      <c r="AM25" s="248"/>
      <c r="AN25" s="248"/>
      <c r="AO25" s="251" t="s">
        <v>0</v>
      </c>
      <c r="AP25" s="251"/>
      <c r="AQ25" s="251"/>
      <c r="AR25" s="251"/>
      <c r="AS25" s="251"/>
      <c r="AT25" s="252"/>
      <c r="AU25" s="30"/>
      <c r="AV25" s="12"/>
      <c r="AW25" s="28"/>
      <c r="AX25" s="25"/>
      <c r="AY25" s="100"/>
      <c r="AZ25" s="311" t="s">
        <v>84</v>
      </c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25"/>
      <c r="BM25" s="25"/>
      <c r="BN25" s="61"/>
      <c r="BO25" s="25"/>
      <c r="BP25" s="25"/>
      <c r="BQ25" s="315">
        <f>BU12</f>
        <v>21.64650837058448</v>
      </c>
      <c r="BR25" s="315"/>
      <c r="BS25" s="315"/>
      <c r="BT25" s="315"/>
      <c r="BU25" s="315"/>
      <c r="BV25" s="315"/>
      <c r="BW25" s="315"/>
      <c r="BX25" s="7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74"/>
      <c r="CL25" s="75"/>
      <c r="CM25" s="63"/>
      <c r="CN25" s="63"/>
      <c r="CO25" s="64"/>
      <c r="CP25" s="102"/>
      <c r="CQ25" s="25"/>
      <c r="CR25" s="30"/>
      <c r="CS25" s="12"/>
      <c r="CT25" s="12"/>
      <c r="CU25" s="12"/>
      <c r="CV25" s="12"/>
      <c r="CW25" s="12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6"/>
      <c r="DS25" s="316"/>
      <c r="DT25" s="12"/>
      <c r="DU25" s="12"/>
    </row>
    <row r="26" spans="1:125" ht="13.5" customHeight="1">
      <c r="A26" s="12"/>
      <c r="B26" s="28"/>
      <c r="C26" s="272" t="s">
        <v>57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 t="s">
        <v>21</v>
      </c>
      <c r="S26" s="273"/>
      <c r="T26" s="273"/>
      <c r="U26" s="273"/>
      <c r="V26" s="273"/>
      <c r="W26" s="274"/>
      <c r="X26" s="53" t="s">
        <v>70</v>
      </c>
      <c r="Y26" s="247">
        <f>RelHum2</f>
        <v>46.90808836462273</v>
      </c>
      <c r="Z26" s="248"/>
      <c r="AA26" s="248"/>
      <c r="AB26" s="248"/>
      <c r="AC26" s="248"/>
      <c r="AD26" s="251" t="s">
        <v>53</v>
      </c>
      <c r="AE26" s="251"/>
      <c r="AF26" s="251"/>
      <c r="AG26" s="251"/>
      <c r="AH26" s="252"/>
      <c r="AI26" s="55" t="s">
        <v>70</v>
      </c>
      <c r="AJ26" s="247">
        <f>RelHum(Tdb2,Twb2,Elevation)</f>
        <v>46.90808836462273</v>
      </c>
      <c r="AK26" s="248"/>
      <c r="AL26" s="248"/>
      <c r="AM26" s="248"/>
      <c r="AN26" s="248"/>
      <c r="AO26" s="251" t="s">
        <v>5</v>
      </c>
      <c r="AP26" s="251"/>
      <c r="AQ26" s="251"/>
      <c r="AR26" s="251"/>
      <c r="AS26" s="251"/>
      <c r="AT26" s="252"/>
      <c r="AU26" s="30"/>
      <c r="AV26" s="12"/>
      <c r="AW26" s="28"/>
      <c r="AX26" s="25"/>
      <c r="AY26" s="100"/>
      <c r="AZ26" s="110"/>
      <c r="BA26" s="111"/>
      <c r="BB26" s="111"/>
      <c r="BC26" s="111"/>
      <c r="BD26" s="312">
        <f>Y7</f>
        <v>67.21811018542269</v>
      </c>
      <c r="BE26" s="312"/>
      <c r="BF26" s="312"/>
      <c r="BG26" s="312"/>
      <c r="BH26" s="111"/>
      <c r="BI26" s="111"/>
      <c r="BJ26" s="111"/>
      <c r="BK26" s="112"/>
      <c r="BL26" s="25"/>
      <c r="BM26" s="76"/>
      <c r="BN26" s="76"/>
      <c r="BO26" s="25"/>
      <c r="BP26" s="25"/>
      <c r="BQ26" s="25"/>
      <c r="BR26" s="25"/>
      <c r="BS26" s="25"/>
      <c r="BT26" s="25"/>
      <c r="BU26" s="25"/>
      <c r="BV26" s="25"/>
      <c r="BW26" s="25"/>
      <c r="BX26" s="77"/>
      <c r="BY26" s="77"/>
      <c r="BZ26" s="77"/>
      <c r="CA26" s="77"/>
      <c r="CB26" s="78"/>
      <c r="CC26" s="58"/>
      <c r="CD26" s="59"/>
      <c r="CE26" s="59"/>
      <c r="CF26" s="59"/>
      <c r="CG26" s="59"/>
      <c r="CH26" s="59"/>
      <c r="CI26" s="59"/>
      <c r="CJ26" s="59"/>
      <c r="CK26" s="71"/>
      <c r="CL26" s="72"/>
      <c r="CM26" s="59"/>
      <c r="CN26" s="59"/>
      <c r="CO26" s="60"/>
      <c r="CP26" s="102"/>
      <c r="CQ26" s="25"/>
      <c r="CR26" s="30"/>
      <c r="CS26" s="12"/>
      <c r="CT26" s="12"/>
      <c r="CU26" s="12"/>
      <c r="CV26" s="12"/>
      <c r="CW26" s="12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6"/>
      <c r="DQ26" s="316"/>
      <c r="DR26" s="316"/>
      <c r="DS26" s="316"/>
      <c r="DT26" s="12"/>
      <c r="DU26" s="12"/>
    </row>
    <row r="27" spans="1:125" ht="13.5" customHeight="1">
      <c r="A27" s="12"/>
      <c r="B27" s="28"/>
      <c r="C27" s="272" t="s">
        <v>58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 t="s">
        <v>22</v>
      </c>
      <c r="S27" s="273"/>
      <c r="T27" s="273"/>
      <c r="U27" s="273"/>
      <c r="V27" s="273"/>
      <c r="W27" s="274"/>
      <c r="X27" s="53" t="s">
        <v>70</v>
      </c>
      <c r="Y27" s="247">
        <f>cp/4.187</f>
        <v>0.05852144827171898</v>
      </c>
      <c r="Z27" s="248"/>
      <c r="AA27" s="248"/>
      <c r="AB27" s="248"/>
      <c r="AC27" s="248"/>
      <c r="AD27" s="251" t="s">
        <v>101</v>
      </c>
      <c r="AE27" s="251"/>
      <c r="AF27" s="251"/>
      <c r="AG27" s="251"/>
      <c r="AH27" s="252"/>
      <c r="AI27" s="55" t="s">
        <v>70</v>
      </c>
      <c r="AJ27" s="247">
        <f>0.24+HRatio2*0.444</f>
        <v>0.24887196240210352</v>
      </c>
      <c r="AK27" s="248"/>
      <c r="AL27" s="248"/>
      <c r="AM27" s="248"/>
      <c r="AN27" s="248"/>
      <c r="AO27" s="251" t="s">
        <v>6</v>
      </c>
      <c r="AP27" s="251"/>
      <c r="AQ27" s="251"/>
      <c r="AR27" s="251"/>
      <c r="AS27" s="251"/>
      <c r="AT27" s="252"/>
      <c r="AU27" s="30"/>
      <c r="AV27" s="12"/>
      <c r="AW27" s="28"/>
      <c r="AX27" s="25"/>
      <c r="AY27" s="101"/>
      <c r="AZ27" s="313">
        <f>ROUNDDOWN((Y7-1),0)</f>
        <v>66</v>
      </c>
      <c r="BA27" s="161"/>
      <c r="BB27" s="161"/>
      <c r="BC27" s="25"/>
      <c r="BD27" s="25"/>
      <c r="BE27" s="25"/>
      <c r="BF27" s="25"/>
      <c r="BG27" s="25"/>
      <c r="BH27" s="25"/>
      <c r="BI27" s="161">
        <f>ROUNDDOWN((Y7+1),0)</f>
        <v>68</v>
      </c>
      <c r="BJ27" s="161"/>
      <c r="BK27" s="162"/>
      <c r="BL27" s="25"/>
      <c r="BM27" s="76"/>
      <c r="BN27" s="76"/>
      <c r="BO27" s="25"/>
      <c r="BP27" s="25"/>
      <c r="BQ27" s="25"/>
      <c r="BR27" s="25"/>
      <c r="BS27" s="25"/>
      <c r="BT27" s="25"/>
      <c r="BU27" s="62"/>
      <c r="BV27" s="80"/>
      <c r="BW27" s="63"/>
      <c r="BX27" s="63"/>
      <c r="BY27" s="63"/>
      <c r="BZ27" s="63"/>
      <c r="CA27" s="63"/>
      <c r="CB27" s="81"/>
      <c r="CC27" s="82"/>
      <c r="CD27" s="63"/>
      <c r="CE27" s="63"/>
      <c r="CF27" s="63"/>
      <c r="CG27" s="63"/>
      <c r="CH27" s="63"/>
      <c r="CI27" s="63"/>
      <c r="CJ27" s="63"/>
      <c r="CK27" s="74"/>
      <c r="CL27" s="75"/>
      <c r="CM27" s="63"/>
      <c r="CN27" s="63"/>
      <c r="CO27" s="64"/>
      <c r="CP27" s="102"/>
      <c r="CQ27" s="25"/>
      <c r="CR27" s="30"/>
      <c r="CS27" s="12"/>
      <c r="CT27" s="12"/>
      <c r="CU27" s="12"/>
      <c r="CV27" s="12"/>
      <c r="CW27" s="12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 s="316"/>
      <c r="DR27" s="316"/>
      <c r="DS27" s="316"/>
      <c r="DT27" s="12"/>
      <c r="DU27" s="12"/>
    </row>
    <row r="28" spans="1:125" ht="13.5" customHeight="1">
      <c r="A28" s="12"/>
      <c r="B28" s="28"/>
      <c r="C28" s="272" t="s">
        <v>59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 t="s">
        <v>23</v>
      </c>
      <c r="S28" s="273"/>
      <c r="T28" s="273"/>
      <c r="U28" s="273"/>
      <c r="V28" s="273"/>
      <c r="W28" s="274"/>
      <c r="X28" s="53" t="s">
        <v>70</v>
      </c>
      <c r="Y28" s="247">
        <f>Enal2*0.252</f>
        <v>11.413482947491644</v>
      </c>
      <c r="Z28" s="248"/>
      <c r="AA28" s="248"/>
      <c r="AB28" s="248"/>
      <c r="AC28" s="248"/>
      <c r="AD28" s="251" t="s">
        <v>54</v>
      </c>
      <c r="AE28" s="251"/>
      <c r="AF28" s="251"/>
      <c r="AG28" s="251"/>
      <c r="AH28" s="252"/>
      <c r="AI28" s="55" t="s">
        <v>70</v>
      </c>
      <c r="AJ28" s="247">
        <f>0.24*Tdb2+HRatio2*(1061+0.444*Tdb2)</f>
        <v>45.29159899798272</v>
      </c>
      <c r="AK28" s="248"/>
      <c r="AL28" s="248"/>
      <c r="AM28" s="248"/>
      <c r="AN28" s="248"/>
      <c r="AO28" s="251" t="s">
        <v>7</v>
      </c>
      <c r="AP28" s="251"/>
      <c r="AQ28" s="251"/>
      <c r="AR28" s="251"/>
      <c r="AS28" s="251"/>
      <c r="AT28" s="252"/>
      <c r="AU28" s="30"/>
      <c r="AV28" s="12"/>
      <c r="AW28" s="28"/>
      <c r="AX28" s="25"/>
      <c r="AY28" s="100"/>
      <c r="AZ28" s="79"/>
      <c r="BA28" s="76"/>
      <c r="BB28" s="25"/>
      <c r="BC28" s="25"/>
      <c r="BD28" s="25"/>
      <c r="BE28" s="25"/>
      <c r="BF28" s="25"/>
      <c r="BG28" s="25"/>
      <c r="BH28" s="25"/>
      <c r="BI28" s="25"/>
      <c r="BJ28" s="76"/>
      <c r="BK28" s="113"/>
      <c r="BL28" s="25"/>
      <c r="BM28" s="25"/>
      <c r="BN28" s="25"/>
      <c r="BO28" s="25"/>
      <c r="BP28" s="83"/>
      <c r="BQ28" s="83"/>
      <c r="BR28" s="62"/>
      <c r="BS28" s="80"/>
      <c r="BT28" s="80"/>
      <c r="BU28" s="59"/>
      <c r="BV28" s="71"/>
      <c r="BW28" s="84"/>
      <c r="BX28" s="85"/>
      <c r="BY28" s="85"/>
      <c r="BZ28" s="85"/>
      <c r="CA28" s="85"/>
      <c r="CB28" s="86"/>
      <c r="CC28" s="87"/>
      <c r="CD28" s="85"/>
      <c r="CE28" s="85"/>
      <c r="CF28" s="85"/>
      <c r="CG28" s="85"/>
      <c r="CH28" s="85"/>
      <c r="CI28" s="85"/>
      <c r="CJ28" s="85"/>
      <c r="CK28" s="88"/>
      <c r="CL28" s="84"/>
      <c r="CM28" s="85"/>
      <c r="CN28" s="85"/>
      <c r="CO28" s="89"/>
      <c r="CP28" s="102"/>
      <c r="CQ28" s="25"/>
      <c r="CR28" s="30"/>
      <c r="CS28" s="12"/>
      <c r="CT28" s="12"/>
      <c r="CU28" s="12"/>
      <c r="CV28" s="12"/>
      <c r="CW28" s="12"/>
      <c r="CX28" s="316"/>
      <c r="CY28" s="316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6"/>
      <c r="DQ28" s="316"/>
      <c r="DR28" s="316"/>
      <c r="DS28" s="316"/>
      <c r="DT28" s="12"/>
      <c r="DU28" s="12"/>
    </row>
    <row r="29" spans="1:125" ht="13.5" customHeight="1">
      <c r="A29" s="12"/>
      <c r="B29" s="28"/>
      <c r="C29" s="272" t="s">
        <v>60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 t="s">
        <v>24</v>
      </c>
      <c r="S29" s="273"/>
      <c r="T29" s="273"/>
      <c r="U29" s="273"/>
      <c r="V29" s="273"/>
      <c r="W29" s="274"/>
      <c r="X29" s="53" t="s">
        <v>70</v>
      </c>
      <c r="Y29" s="257">
        <f>SpVol2*0.06242</f>
        <v>1.0218570394921376</v>
      </c>
      <c r="Z29" s="258"/>
      <c r="AA29" s="258"/>
      <c r="AB29" s="258"/>
      <c r="AC29" s="258"/>
      <c r="AD29" s="251" t="s">
        <v>102</v>
      </c>
      <c r="AE29" s="251"/>
      <c r="AF29" s="251"/>
      <c r="AG29" s="251"/>
      <c r="AH29" s="252"/>
      <c r="AI29" s="55" t="s">
        <v>70</v>
      </c>
      <c r="AJ29" s="257">
        <f>0.7543*(Tdb2+459.67)*(1+1.6078*HRatio2)/APinHg</f>
        <v>16.370667085743953</v>
      </c>
      <c r="AK29" s="258"/>
      <c r="AL29" s="258"/>
      <c r="AM29" s="258"/>
      <c r="AN29" s="258"/>
      <c r="AO29" s="251" t="s">
        <v>8</v>
      </c>
      <c r="AP29" s="251"/>
      <c r="AQ29" s="251"/>
      <c r="AR29" s="251"/>
      <c r="AS29" s="251"/>
      <c r="AT29" s="252"/>
      <c r="AU29" s="30"/>
      <c r="AV29" s="12"/>
      <c r="AW29" s="28"/>
      <c r="AX29" s="25"/>
      <c r="AY29" s="100"/>
      <c r="AZ29" s="57"/>
      <c r="BA29" s="25"/>
      <c r="BB29" s="25"/>
      <c r="BC29" s="163" t="s">
        <v>107</v>
      </c>
      <c r="BD29" s="163"/>
      <c r="BE29" s="163"/>
      <c r="BF29" s="163"/>
      <c r="BG29" s="163"/>
      <c r="BH29" s="163"/>
      <c r="BI29" s="163"/>
      <c r="BJ29" s="163"/>
      <c r="BK29" s="164"/>
      <c r="BL29" s="25"/>
      <c r="BM29" s="306"/>
      <c r="BN29" s="306"/>
      <c r="BO29" s="80"/>
      <c r="BP29" s="59"/>
      <c r="BQ29" s="59"/>
      <c r="BR29" s="59"/>
      <c r="BS29" s="59"/>
      <c r="BT29" s="59"/>
      <c r="BU29" s="59"/>
      <c r="BV29" s="71"/>
      <c r="BW29" s="72"/>
      <c r="BX29" s="59"/>
      <c r="BY29" s="59"/>
      <c r="BZ29" s="59"/>
      <c r="CA29" s="59"/>
      <c r="CB29" s="90"/>
      <c r="CC29" s="58"/>
      <c r="CD29" s="59"/>
      <c r="CE29" s="59"/>
      <c r="CF29" s="59"/>
      <c r="CG29" s="59"/>
      <c r="CH29" s="59"/>
      <c r="CI29" s="59"/>
      <c r="CJ29" s="59"/>
      <c r="CK29" s="71"/>
      <c r="CL29" s="72"/>
      <c r="CM29" s="59"/>
      <c r="CN29" s="59"/>
      <c r="CO29" s="60"/>
      <c r="CP29" s="102"/>
      <c r="CQ29" s="25"/>
      <c r="CR29" s="30"/>
      <c r="CS29" s="12"/>
      <c r="CT29" s="12"/>
      <c r="CU29" s="12"/>
      <c r="CV29" s="12"/>
      <c r="CW29" s="12"/>
      <c r="CX29" s="316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6"/>
      <c r="DN29" s="316"/>
      <c r="DO29" s="316"/>
      <c r="DP29" s="316"/>
      <c r="DQ29" s="316"/>
      <c r="DR29" s="316"/>
      <c r="DS29" s="316"/>
      <c r="DT29" s="12"/>
      <c r="DU29" s="12"/>
    </row>
    <row r="30" spans="1:125" ht="13.5" customHeight="1" thickBot="1">
      <c r="A30" s="12"/>
      <c r="B30" s="28"/>
      <c r="C30" s="277" t="s">
        <v>61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 t="s">
        <v>25</v>
      </c>
      <c r="S30" s="278"/>
      <c r="T30" s="278"/>
      <c r="U30" s="278"/>
      <c r="V30" s="278"/>
      <c r="W30" s="280"/>
      <c r="X30" s="53" t="s">
        <v>70</v>
      </c>
      <c r="Y30" s="247">
        <f>(DewPt2-32)*5/9</f>
        <v>22.885272397425812</v>
      </c>
      <c r="Z30" s="248"/>
      <c r="AA30" s="248"/>
      <c r="AB30" s="248"/>
      <c r="AC30" s="248"/>
      <c r="AD30" s="253" t="s">
        <v>103</v>
      </c>
      <c r="AE30" s="253"/>
      <c r="AF30" s="253"/>
      <c r="AG30" s="253"/>
      <c r="AH30" s="254"/>
      <c r="AI30" s="55" t="s">
        <v>70</v>
      </c>
      <c r="AJ30" s="247">
        <f>DewPoint(AtmPress,HRatio2)</f>
        <v>73.19349031536646</v>
      </c>
      <c r="AK30" s="248"/>
      <c r="AL30" s="248"/>
      <c r="AM30" s="248"/>
      <c r="AN30" s="248"/>
      <c r="AO30" s="251" t="s">
        <v>0</v>
      </c>
      <c r="AP30" s="251"/>
      <c r="AQ30" s="251"/>
      <c r="AR30" s="251"/>
      <c r="AS30" s="251"/>
      <c r="AT30" s="252"/>
      <c r="AU30" s="30"/>
      <c r="AV30" s="12"/>
      <c r="AW30" s="28"/>
      <c r="AX30" s="25"/>
      <c r="AY30" s="100"/>
      <c r="AZ30" s="114"/>
      <c r="BA30" s="300" t="s">
        <v>77</v>
      </c>
      <c r="BB30" s="300"/>
      <c r="BC30" s="300"/>
      <c r="BD30" s="300"/>
      <c r="BE30" s="300"/>
      <c r="BF30" s="299">
        <f>Y6</f>
        <v>0.883851807801484</v>
      </c>
      <c r="BG30" s="299"/>
      <c r="BH30" s="299"/>
      <c r="BI30" s="299"/>
      <c r="BJ30" s="299"/>
      <c r="BK30" s="115"/>
      <c r="BL30" s="25"/>
      <c r="BM30" s="25"/>
      <c r="BN30" s="25"/>
      <c r="BO30" s="91"/>
      <c r="BP30" s="91"/>
      <c r="BQ30" s="91"/>
      <c r="BR30" s="91"/>
      <c r="BS30" s="91"/>
      <c r="BT30" s="91"/>
      <c r="BU30" s="91"/>
      <c r="BV30" s="92"/>
      <c r="BW30" s="93"/>
      <c r="BX30" s="91"/>
      <c r="BY30" s="91"/>
      <c r="BZ30" s="91"/>
      <c r="CA30" s="91"/>
      <c r="CB30" s="94"/>
      <c r="CC30" s="95"/>
      <c r="CD30" s="91"/>
      <c r="CE30" s="91"/>
      <c r="CF30" s="91"/>
      <c r="CG30" s="91"/>
      <c r="CH30" s="91"/>
      <c r="CI30" s="91"/>
      <c r="CJ30" s="91"/>
      <c r="CK30" s="92"/>
      <c r="CL30" s="93"/>
      <c r="CM30" s="91"/>
      <c r="CN30" s="91"/>
      <c r="CO30" s="96"/>
      <c r="CP30" s="102"/>
      <c r="CQ30" s="25"/>
      <c r="CR30" s="30"/>
      <c r="CS30" s="12"/>
      <c r="CT30" s="12"/>
      <c r="CU30" s="12"/>
      <c r="CV30" s="12"/>
      <c r="CW30" s="12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  <c r="DN30" s="316"/>
      <c r="DO30" s="316"/>
      <c r="DP30" s="316"/>
      <c r="DQ30" s="316"/>
      <c r="DR30" s="316"/>
      <c r="DS30" s="316"/>
      <c r="DT30" s="12"/>
      <c r="DU30" s="12"/>
    </row>
    <row r="31" spans="1:125" ht="13.5" customHeight="1" thickBot="1">
      <c r="A31" s="12"/>
      <c r="B31" s="28"/>
      <c r="C31" s="275" t="s">
        <v>62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 t="s">
        <v>44</v>
      </c>
      <c r="S31" s="276"/>
      <c r="T31" s="276"/>
      <c r="U31" s="276"/>
      <c r="V31" s="276"/>
      <c r="W31" s="279"/>
      <c r="X31" s="53" t="s">
        <v>70</v>
      </c>
      <c r="Y31" s="249">
        <f>AJ31*0.1571</f>
        <v>0.00019175492664458128</v>
      </c>
      <c r="Z31" s="250"/>
      <c r="AA31" s="250"/>
      <c r="AB31" s="250"/>
      <c r="AC31" s="250"/>
      <c r="AD31" s="255" t="s">
        <v>104</v>
      </c>
      <c r="AE31" s="255"/>
      <c r="AF31" s="255"/>
      <c r="AG31" s="255"/>
      <c r="AH31" s="256"/>
      <c r="AI31" s="55" t="s">
        <v>70</v>
      </c>
      <c r="AJ31" s="249">
        <f>HRatio2/SpVol2</f>
        <v>0.0012205915126962527</v>
      </c>
      <c r="AK31" s="250"/>
      <c r="AL31" s="250"/>
      <c r="AM31" s="250"/>
      <c r="AN31" s="250"/>
      <c r="AO31" s="255" t="s">
        <v>89</v>
      </c>
      <c r="AP31" s="255"/>
      <c r="AQ31" s="255"/>
      <c r="AR31" s="255"/>
      <c r="AS31" s="255"/>
      <c r="AT31" s="256"/>
      <c r="AU31" s="30"/>
      <c r="AV31" s="12"/>
      <c r="AW31" s="28"/>
      <c r="AX31" s="25"/>
      <c r="AY31" s="103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148" t="s">
        <v>18</v>
      </c>
      <c r="BT31" s="148"/>
      <c r="BU31" s="148"/>
      <c r="BV31" s="147">
        <f>Y12</f>
        <v>26</v>
      </c>
      <c r="BW31" s="147"/>
      <c r="BX31" s="147"/>
      <c r="BY31" s="147"/>
      <c r="BZ31" s="98"/>
      <c r="CA31" s="150" t="s">
        <v>38</v>
      </c>
      <c r="CB31" s="150"/>
      <c r="CC31" s="150"/>
      <c r="CD31" s="149">
        <f>Y24</f>
        <v>36</v>
      </c>
      <c r="CE31" s="149"/>
      <c r="CF31" s="149"/>
      <c r="CG31" s="149"/>
      <c r="CH31" s="98"/>
      <c r="CI31" s="148" t="s">
        <v>18</v>
      </c>
      <c r="CJ31" s="148"/>
      <c r="CK31" s="148"/>
      <c r="CL31" s="147">
        <f>BU6</f>
        <v>34.267809682481975</v>
      </c>
      <c r="CM31" s="147"/>
      <c r="CN31" s="147"/>
      <c r="CO31" s="98"/>
      <c r="CP31" s="104"/>
      <c r="CQ31" s="25"/>
      <c r="CR31" s="30"/>
      <c r="CS31" s="12"/>
      <c r="CT31" s="12"/>
      <c r="CU31" s="12"/>
      <c r="CV31" s="12"/>
      <c r="CW31" s="12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DM31" s="316"/>
      <c r="DN31" s="316"/>
      <c r="DO31" s="316"/>
      <c r="DP31" s="316"/>
      <c r="DQ31" s="316"/>
      <c r="DR31" s="316"/>
      <c r="DS31" s="316"/>
      <c r="DT31" s="12"/>
      <c r="DU31" s="12"/>
    </row>
    <row r="32" spans="1:125" ht="13.5" customHeight="1" thickBot="1">
      <c r="A32" s="1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56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34"/>
      <c r="AV32" s="12"/>
      <c r="AW32" s="39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0"/>
      <c r="CR32" s="34"/>
      <c r="CS32" s="12"/>
      <c r="CT32" s="12"/>
      <c r="CU32" s="12"/>
      <c r="CV32" s="12"/>
      <c r="CW32" s="12"/>
      <c r="CX32" s="316"/>
      <c r="CY32" s="316"/>
      <c r="CZ32" s="316"/>
      <c r="DA32" s="316"/>
      <c r="DB32" s="316"/>
      <c r="DC32" s="316"/>
      <c r="DD32" s="316"/>
      <c r="DE32" s="316"/>
      <c r="DF32" s="316"/>
      <c r="DG32" s="316"/>
      <c r="DH32" s="316"/>
      <c r="DI32" s="316"/>
      <c r="DJ32" s="316"/>
      <c r="DK32" s="316"/>
      <c r="DL32" s="316"/>
      <c r="DM32" s="316"/>
      <c r="DN32" s="316"/>
      <c r="DO32" s="316"/>
      <c r="DP32" s="316"/>
      <c r="DQ32" s="316"/>
      <c r="DR32" s="316"/>
      <c r="DS32" s="316"/>
      <c r="DT32" s="12"/>
      <c r="DU32" s="12"/>
    </row>
    <row r="33" spans="1:125" ht="15" customHeight="1">
      <c r="A33" s="12"/>
      <c r="B33" s="323" t="s">
        <v>86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12"/>
      <c r="CT33" s="12"/>
      <c r="CU33" s="12"/>
      <c r="CV33" s="12"/>
      <c r="CW33" s="12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12"/>
      <c r="DU33" s="12"/>
    </row>
    <row r="34" spans="1:125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316"/>
      <c r="CY34" s="316"/>
      <c r="CZ34" s="316"/>
      <c r="DA34" s="316"/>
      <c r="DB34" s="316"/>
      <c r="DC34" s="316"/>
      <c r="DD34" s="316"/>
      <c r="DE34" s="316"/>
      <c r="DF34" s="316"/>
      <c r="DG34" s="316"/>
      <c r="DH34" s="316"/>
      <c r="DI34" s="316"/>
      <c r="DJ34" s="316"/>
      <c r="DK34" s="316"/>
      <c r="DL34" s="316"/>
      <c r="DM34" s="316"/>
      <c r="DN34" s="316"/>
      <c r="DO34" s="316"/>
      <c r="DP34" s="316"/>
      <c r="DQ34" s="316"/>
      <c r="DR34" s="316"/>
      <c r="DS34" s="316"/>
      <c r="DT34" s="12"/>
      <c r="DU34" s="12"/>
    </row>
    <row r="35" spans="1:125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316"/>
      <c r="CY35" s="316"/>
      <c r="CZ35" s="316"/>
      <c r="DA35" s="316"/>
      <c r="DB35" s="316"/>
      <c r="DC35" s="316"/>
      <c r="DD35" s="316"/>
      <c r="DE35" s="316"/>
      <c r="DF35" s="316"/>
      <c r="DG35" s="316"/>
      <c r="DH35" s="316"/>
      <c r="DI35" s="316"/>
      <c r="DJ35" s="316"/>
      <c r="DK35" s="316"/>
      <c r="DL35" s="316"/>
      <c r="DM35" s="316"/>
      <c r="DN35" s="316"/>
      <c r="DO35" s="316"/>
      <c r="DP35" s="316"/>
      <c r="DQ35" s="316"/>
      <c r="DR35" s="316"/>
      <c r="DS35" s="316"/>
      <c r="DT35" s="12"/>
      <c r="DU35" s="12"/>
    </row>
    <row r="36" spans="1:125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6"/>
      <c r="DP36" s="316"/>
      <c r="DQ36" s="316"/>
      <c r="DR36" s="316"/>
      <c r="DS36" s="316"/>
      <c r="DT36" s="12"/>
      <c r="DU36" s="12"/>
    </row>
    <row r="37" spans="1:125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12"/>
      <c r="DT37" s="12"/>
      <c r="DU37" s="12"/>
    </row>
    <row r="38" spans="1:125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12"/>
      <c r="DT38" s="12"/>
      <c r="DU38" s="12"/>
    </row>
    <row r="39" spans="1:125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12"/>
      <c r="DT39" s="12"/>
      <c r="DU39" s="12"/>
    </row>
    <row r="40" spans="1:125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12"/>
      <c r="DT40" s="12"/>
      <c r="DU40" s="12"/>
    </row>
    <row r="41" spans="1:125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12"/>
      <c r="DT41" s="12"/>
      <c r="DU41" s="12"/>
    </row>
    <row r="42" spans="1:125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12"/>
      <c r="DT42" s="12"/>
      <c r="DU42" s="12"/>
    </row>
    <row r="43" spans="1:125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12"/>
      <c r="DT43" s="12"/>
      <c r="DU43" s="12"/>
    </row>
    <row r="44" spans="1:125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12"/>
      <c r="DT44" s="12"/>
      <c r="DU44" s="12"/>
    </row>
    <row r="45" spans="1:125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12"/>
      <c r="DT45" s="12"/>
      <c r="DU45" s="12"/>
    </row>
    <row r="46" spans="1:125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12"/>
      <c r="DT46" s="12"/>
      <c r="DU46" s="12"/>
    </row>
    <row r="47" spans="1:125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12"/>
      <c r="DT47" s="12"/>
      <c r="DU47" s="12"/>
    </row>
    <row r="48" spans="1:125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12"/>
      <c r="DT48" s="12"/>
      <c r="DU48" s="12"/>
    </row>
    <row r="49" spans="1:125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12"/>
      <c r="DT49" s="12"/>
      <c r="DU49" s="12"/>
    </row>
    <row r="50" spans="1:125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1"/>
      <c r="Y50" s="12"/>
      <c r="Z50" s="12"/>
      <c r="AA50" s="12"/>
      <c r="AB50" s="12"/>
      <c r="AC50" s="12"/>
      <c r="AD50" s="22"/>
      <c r="AE50" s="22"/>
      <c r="AF50" s="22"/>
      <c r="AG50" s="22"/>
      <c r="AH50" s="22"/>
      <c r="AI50" s="23"/>
      <c r="AJ50" s="12"/>
      <c r="AK50" s="12"/>
      <c r="AL50" s="12"/>
      <c r="AM50" s="12"/>
      <c r="AN50" s="12"/>
      <c r="AO50" s="12"/>
      <c r="AP50" s="12"/>
      <c r="AQ50" s="12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12"/>
      <c r="DT50" s="12"/>
      <c r="DU50" s="12"/>
    </row>
    <row r="51" spans="1:125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1"/>
      <c r="Y51" s="12"/>
      <c r="Z51" s="12"/>
      <c r="AA51" s="12"/>
      <c r="AB51" s="12"/>
      <c r="AC51" s="12"/>
      <c r="AD51" s="22"/>
      <c r="AE51" s="22"/>
      <c r="AF51" s="22"/>
      <c r="AG51" s="22"/>
      <c r="AH51" s="22"/>
      <c r="AI51" s="23"/>
      <c r="AJ51" s="12"/>
      <c r="AK51" s="12"/>
      <c r="AL51" s="12"/>
      <c r="AM51" s="12"/>
      <c r="AN51" s="12"/>
      <c r="AO51" s="12"/>
      <c r="AP51" s="12"/>
      <c r="AQ51" s="12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12"/>
      <c r="DT51" s="12"/>
      <c r="DU51" s="12"/>
    </row>
    <row r="52" spans="1:125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12"/>
      <c r="Z52" s="12"/>
      <c r="AA52" s="12"/>
      <c r="AB52" s="12"/>
      <c r="AC52" s="12"/>
      <c r="AD52" s="22"/>
      <c r="AE52" s="22"/>
      <c r="AF52" s="22"/>
      <c r="AG52" s="22"/>
      <c r="AH52" s="22"/>
      <c r="AI52" s="23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</row>
    <row r="53" spans="1:125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12"/>
      <c r="Z53" s="12"/>
      <c r="AA53" s="12"/>
      <c r="AB53" s="12"/>
      <c r="AC53" s="12"/>
      <c r="AD53" s="22"/>
      <c r="AE53" s="22"/>
      <c r="AF53" s="22"/>
      <c r="AG53" s="22"/>
      <c r="AH53" s="22"/>
      <c r="AI53" s="23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</row>
    <row r="54" spans="1:125" ht="11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1"/>
      <c r="Y54" s="12"/>
      <c r="Z54" s="12"/>
      <c r="AA54" s="12"/>
      <c r="AB54" s="12"/>
      <c r="AC54" s="12"/>
      <c r="AD54" s="22"/>
      <c r="AE54" s="22"/>
      <c r="AF54" s="22"/>
      <c r="AG54" s="22"/>
      <c r="AH54" s="22"/>
      <c r="AI54" s="23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</row>
    <row r="55" spans="1:125" ht="11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1"/>
      <c r="Y55" s="12"/>
      <c r="Z55" s="12"/>
      <c r="AA55" s="12"/>
      <c r="AB55" s="12"/>
      <c r="AC55" s="12"/>
      <c r="AD55" s="22"/>
      <c r="AE55" s="22"/>
      <c r="AF55" s="22"/>
      <c r="AG55" s="22"/>
      <c r="AH55" s="22"/>
      <c r="AI55" s="23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</row>
    <row r="83" spans="24:35" ht="11.25">
      <c r="X83" s="11"/>
      <c r="AD83" s="11"/>
      <c r="AE83" s="11"/>
      <c r="AF83" s="11"/>
      <c r="AG83" s="11"/>
      <c r="AH83" s="11"/>
      <c r="AI83" s="11"/>
    </row>
    <row r="84" spans="24:35" ht="11.25">
      <c r="X84" s="11"/>
      <c r="AD84" s="11"/>
      <c r="AE84" s="11"/>
      <c r="AF84" s="11"/>
      <c r="AG84" s="11"/>
      <c r="AH84" s="11"/>
      <c r="AI84" s="11"/>
    </row>
    <row r="85" spans="24:35" ht="11.25">
      <c r="X85" s="11"/>
      <c r="AD85" s="11"/>
      <c r="AE85" s="11"/>
      <c r="AF85" s="11"/>
      <c r="AG85" s="11"/>
      <c r="AH85" s="11"/>
      <c r="AI85" s="11"/>
    </row>
    <row r="86" spans="24:35" ht="11.25">
      <c r="X86" s="11"/>
      <c r="AD86" s="11"/>
      <c r="AE86" s="11"/>
      <c r="AF86" s="11"/>
      <c r="AG86" s="11"/>
      <c r="AH86" s="11"/>
      <c r="AI86" s="11"/>
    </row>
    <row r="87" spans="24:35" ht="11.25">
      <c r="X87" s="11"/>
      <c r="AD87" s="11"/>
      <c r="AE87" s="11"/>
      <c r="AF87" s="11"/>
      <c r="AG87" s="11"/>
      <c r="AH87" s="11"/>
      <c r="AI87" s="11"/>
    </row>
    <row r="88" spans="24:35" ht="11.25">
      <c r="X88" s="11"/>
      <c r="AD88" s="11"/>
      <c r="AE88" s="11"/>
      <c r="AF88" s="11"/>
      <c r="AG88" s="11"/>
      <c r="AH88" s="11"/>
      <c r="AI88" s="11"/>
    </row>
    <row r="89" spans="24:35" ht="11.25">
      <c r="X89" s="11"/>
      <c r="AD89" s="11"/>
      <c r="AE89" s="11"/>
      <c r="AF89" s="11"/>
      <c r="AG89" s="11"/>
      <c r="AH89" s="11"/>
      <c r="AI89" s="11"/>
    </row>
    <row r="90" spans="24:35" ht="11.25">
      <c r="X90" s="11"/>
      <c r="AD90" s="11"/>
      <c r="AE90" s="11"/>
      <c r="AF90" s="11"/>
      <c r="AG90" s="11"/>
      <c r="AH90" s="11"/>
      <c r="AI90" s="11"/>
    </row>
    <row r="91" spans="24:35" ht="11.25">
      <c r="X91" s="11"/>
      <c r="AD91" s="11"/>
      <c r="AE91" s="11"/>
      <c r="AF91" s="11"/>
      <c r="AG91" s="11"/>
      <c r="AH91" s="11"/>
      <c r="AI91" s="11"/>
    </row>
    <row r="92" spans="24:35" ht="11.25">
      <c r="X92" s="11"/>
      <c r="AD92" s="11"/>
      <c r="AE92" s="11"/>
      <c r="AF92" s="11"/>
      <c r="AG92" s="11"/>
      <c r="AH92" s="11"/>
      <c r="AI92" s="11"/>
    </row>
    <row r="93" spans="24:35" ht="11.25">
      <c r="X93" s="11"/>
      <c r="AD93" s="11"/>
      <c r="AE93" s="11"/>
      <c r="AF93" s="11"/>
      <c r="AG93" s="11"/>
      <c r="AH93" s="11"/>
      <c r="AI93" s="11"/>
    </row>
    <row r="94" spans="24:35" ht="11.25">
      <c r="X94" s="11"/>
      <c r="AD94" s="11"/>
      <c r="AE94" s="11"/>
      <c r="AF94" s="11"/>
      <c r="AG94" s="11"/>
      <c r="AH94" s="11"/>
      <c r="AI94" s="11"/>
    </row>
    <row r="95" spans="24:35" ht="11.25">
      <c r="X95" s="11"/>
      <c r="AD95" s="11"/>
      <c r="AE95" s="11"/>
      <c r="AF95" s="11"/>
      <c r="AG95" s="11"/>
      <c r="AH95" s="11"/>
      <c r="AI95" s="11"/>
    </row>
    <row r="96" spans="24:35" ht="11.25">
      <c r="X96" s="11"/>
      <c r="AD96" s="11"/>
      <c r="AE96" s="11"/>
      <c r="AF96" s="11"/>
      <c r="AG96" s="11"/>
      <c r="AH96" s="11"/>
      <c r="AI96" s="11"/>
    </row>
    <row r="97" spans="24:35" ht="11.25">
      <c r="X97" s="11"/>
      <c r="AD97" s="11"/>
      <c r="AE97" s="11"/>
      <c r="AF97" s="11"/>
      <c r="AG97" s="11"/>
      <c r="AH97" s="11"/>
      <c r="AI97" s="11"/>
    </row>
    <row r="98" spans="24:35" ht="11.25">
      <c r="X98" s="11"/>
      <c r="AD98" s="11"/>
      <c r="AE98" s="11"/>
      <c r="AF98" s="11"/>
      <c r="AG98" s="11"/>
      <c r="AH98" s="11"/>
      <c r="AI98" s="11"/>
    </row>
    <row r="99" spans="24:35" ht="11.25">
      <c r="X99" s="11"/>
      <c r="AD99" s="11"/>
      <c r="AE99" s="11"/>
      <c r="AF99" s="11"/>
      <c r="AG99" s="11"/>
      <c r="AH99" s="11"/>
      <c r="AI99" s="11"/>
    </row>
    <row r="100" spans="24:35" ht="11.25">
      <c r="X100" s="11"/>
      <c r="AD100" s="11"/>
      <c r="AE100" s="11"/>
      <c r="AF100" s="11"/>
      <c r="AG100" s="11"/>
      <c r="AH100" s="11"/>
      <c r="AI100" s="11"/>
    </row>
    <row r="101" spans="24:35" ht="11.25">
      <c r="X101" s="11"/>
      <c r="AD101" s="11"/>
      <c r="AE101" s="11"/>
      <c r="AF101" s="11"/>
      <c r="AG101" s="11"/>
      <c r="AH101" s="11"/>
      <c r="AI101" s="11"/>
    </row>
    <row r="102" spans="24:35" ht="11.25">
      <c r="X102" s="11"/>
      <c r="AD102" s="11"/>
      <c r="AE102" s="11"/>
      <c r="AF102" s="11"/>
      <c r="AG102" s="11"/>
      <c r="AH102" s="11"/>
      <c r="AI102" s="11"/>
    </row>
    <row r="103" spans="24:35" ht="11.25">
      <c r="X103" s="11"/>
      <c r="AD103" s="11"/>
      <c r="AE103" s="11"/>
      <c r="AF103" s="11"/>
      <c r="AG103" s="11"/>
      <c r="AH103" s="11"/>
      <c r="AI103" s="11"/>
    </row>
    <row r="104" spans="24:35" ht="11.25">
      <c r="X104" s="11"/>
      <c r="AD104" s="11"/>
      <c r="AE104" s="11"/>
      <c r="AF104" s="11"/>
      <c r="AG104" s="11"/>
      <c r="AH104" s="11"/>
      <c r="AI104" s="11"/>
    </row>
    <row r="105" spans="24:35" ht="11.25">
      <c r="X105" s="11"/>
      <c r="AD105" s="11"/>
      <c r="AE105" s="11"/>
      <c r="AF105" s="11"/>
      <c r="AG105" s="11"/>
      <c r="AH105" s="11"/>
      <c r="AI105" s="11"/>
    </row>
  </sheetData>
  <sheetProtection password="CAB2" sheet="1" objects="1" scenarios="1"/>
  <mergeCells count="266">
    <mergeCell ref="BQ25:BW25"/>
    <mergeCell ref="CX20:DS36"/>
    <mergeCell ref="BP19:CA20"/>
    <mergeCell ref="AZ15:BO15"/>
    <mergeCell ref="B33:CR33"/>
    <mergeCell ref="BA22:BO22"/>
    <mergeCell ref="BA23:BO23"/>
    <mergeCell ref="BA24:BO24"/>
    <mergeCell ref="BA16:BO16"/>
    <mergeCell ref="BA17:BO17"/>
    <mergeCell ref="BA30:BE30"/>
    <mergeCell ref="BA18:BO18"/>
    <mergeCell ref="BA19:BO19"/>
    <mergeCell ref="CG20:CK20"/>
    <mergeCell ref="BM29:BN29"/>
    <mergeCell ref="BA20:BO20"/>
    <mergeCell ref="BA21:BO21"/>
    <mergeCell ref="AZ25:BK25"/>
    <mergeCell ref="BD26:BG26"/>
    <mergeCell ref="AZ27:BB27"/>
    <mergeCell ref="BN5:BS5"/>
    <mergeCell ref="BU5:BZ5"/>
    <mergeCell ref="CA5:CD5"/>
    <mergeCell ref="BF30:BJ30"/>
    <mergeCell ref="BU6:BY6"/>
    <mergeCell ref="BU8:BY8"/>
    <mergeCell ref="BU7:BY7"/>
    <mergeCell ref="BN8:BS8"/>
    <mergeCell ref="BN7:BS7"/>
    <mergeCell ref="BN10:BS10"/>
    <mergeCell ref="C17:Q17"/>
    <mergeCell ref="Y5:AH5"/>
    <mergeCell ref="AO25:AT25"/>
    <mergeCell ref="AO24:AT24"/>
    <mergeCell ref="Y7:AC7"/>
    <mergeCell ref="AD7:AH7"/>
    <mergeCell ref="Y6:AC6"/>
    <mergeCell ref="AD6:AH6"/>
    <mergeCell ref="AJ6:AN6"/>
    <mergeCell ref="B9:AU9"/>
    <mergeCell ref="C25:Q25"/>
    <mergeCell ref="C24:Q24"/>
    <mergeCell ref="R19:W19"/>
    <mergeCell ref="R18:W18"/>
    <mergeCell ref="C19:Q19"/>
    <mergeCell ref="C18:Q18"/>
    <mergeCell ref="C23:Q23"/>
    <mergeCell ref="R24:W24"/>
    <mergeCell ref="R23:W23"/>
    <mergeCell ref="C22:Q22"/>
    <mergeCell ref="C14:Q14"/>
    <mergeCell ref="R13:W13"/>
    <mergeCell ref="R14:W14"/>
    <mergeCell ref="AY6:BM6"/>
    <mergeCell ref="AY10:BM10"/>
    <mergeCell ref="AY9:BM9"/>
    <mergeCell ref="AY8:BM8"/>
    <mergeCell ref="Y11:AD11"/>
    <mergeCell ref="AJ11:AN11"/>
    <mergeCell ref="AJ7:AN7"/>
    <mergeCell ref="R29:W29"/>
    <mergeCell ref="R28:W28"/>
    <mergeCell ref="R26:W26"/>
    <mergeCell ref="R25:W25"/>
    <mergeCell ref="C31:Q31"/>
    <mergeCell ref="DG17:DU18"/>
    <mergeCell ref="Y30:AC30"/>
    <mergeCell ref="Y29:AC29"/>
    <mergeCell ref="C26:Q26"/>
    <mergeCell ref="AO31:AT31"/>
    <mergeCell ref="AO30:AT30"/>
    <mergeCell ref="C30:Q30"/>
    <mergeCell ref="R31:W31"/>
    <mergeCell ref="R30:W30"/>
    <mergeCell ref="R22:W22"/>
    <mergeCell ref="Y28:AC28"/>
    <mergeCell ref="C29:Q29"/>
    <mergeCell ref="AO11:AT11"/>
    <mergeCell ref="C28:Q28"/>
    <mergeCell ref="C27:Q27"/>
    <mergeCell ref="Y26:AC26"/>
    <mergeCell ref="R27:W27"/>
    <mergeCell ref="AJ27:AN27"/>
    <mergeCell ref="AJ26:AN26"/>
    <mergeCell ref="R17:W17"/>
    <mergeCell ref="AD17:AH17"/>
    <mergeCell ref="AD19:AH19"/>
    <mergeCell ref="AD18:AH18"/>
    <mergeCell ref="Y19:AC19"/>
    <mergeCell ref="C16:Q16"/>
    <mergeCell ref="C15:Q15"/>
    <mergeCell ref="R16:W16"/>
    <mergeCell ref="Y16:AC16"/>
    <mergeCell ref="Y15:AC15"/>
    <mergeCell ref="R15:W15"/>
    <mergeCell ref="DG15:DU16"/>
    <mergeCell ref="CF13:CJ13"/>
    <mergeCell ref="BN13:BS13"/>
    <mergeCell ref="DG13:DU14"/>
    <mergeCell ref="CK13:CP13"/>
    <mergeCell ref="AO29:AT29"/>
    <mergeCell ref="AO28:AT28"/>
    <mergeCell ref="AO27:AT27"/>
    <mergeCell ref="AO26:AT26"/>
    <mergeCell ref="AJ30:AN30"/>
    <mergeCell ref="AJ29:AN29"/>
    <mergeCell ref="AJ28:AN28"/>
    <mergeCell ref="AD29:AH29"/>
    <mergeCell ref="AJ25:AN25"/>
    <mergeCell ref="Y31:AC31"/>
    <mergeCell ref="AD27:AH27"/>
    <mergeCell ref="AD26:AH26"/>
    <mergeCell ref="AD28:AH28"/>
    <mergeCell ref="Y27:AC27"/>
    <mergeCell ref="AD30:AH30"/>
    <mergeCell ref="AJ31:AN31"/>
    <mergeCell ref="AD31:AH31"/>
    <mergeCell ref="Y25:AH25"/>
    <mergeCell ref="BU2:CD2"/>
    <mergeCell ref="EM13:EM14"/>
    <mergeCell ref="EN14:ER14"/>
    <mergeCell ref="EH14:EL14"/>
    <mergeCell ref="EC14:EG14"/>
    <mergeCell ref="BZ13:CD13"/>
    <mergeCell ref="BZ12:CD12"/>
    <mergeCell ref="BZ6:CD6"/>
    <mergeCell ref="BZ10:CD10"/>
    <mergeCell ref="CK5:CP5"/>
    <mergeCell ref="EB13:EB14"/>
    <mergeCell ref="DV13:EA14"/>
    <mergeCell ref="EN13:ER13"/>
    <mergeCell ref="EB17:EB18"/>
    <mergeCell ref="EC16:EG16"/>
    <mergeCell ref="EC15:EG15"/>
    <mergeCell ref="EC18:EG18"/>
    <mergeCell ref="EC17:EG17"/>
    <mergeCell ref="EB15:EB16"/>
    <mergeCell ref="EM15:EM16"/>
    <mergeCell ref="EN18:ER18"/>
    <mergeCell ref="EN17:ER17"/>
    <mergeCell ref="EN16:ER16"/>
    <mergeCell ref="EN15:ER15"/>
    <mergeCell ref="ES15:EX15"/>
    <mergeCell ref="EM17:EM18"/>
    <mergeCell ref="EC13:EG13"/>
    <mergeCell ref="EH16:EL16"/>
    <mergeCell ref="EH15:EL15"/>
    <mergeCell ref="ES18:EX18"/>
    <mergeCell ref="ES17:EX17"/>
    <mergeCell ref="EH13:EL13"/>
    <mergeCell ref="ES14:EX14"/>
    <mergeCell ref="ES13:EX13"/>
    <mergeCell ref="CF2:CP2"/>
    <mergeCell ref="AJ10:AT10"/>
    <mergeCell ref="AJ22:AT22"/>
    <mergeCell ref="AO13:AT13"/>
    <mergeCell ref="AO12:AT12"/>
    <mergeCell ref="AO16:AT16"/>
    <mergeCell ref="AO15:AT15"/>
    <mergeCell ref="CK9:CP9"/>
    <mergeCell ref="CK8:CP8"/>
    <mergeCell ref="AO17:AT17"/>
    <mergeCell ref="BN9:BS9"/>
    <mergeCell ref="C6:W6"/>
    <mergeCell ref="C5:W5"/>
    <mergeCell ref="C10:Q10"/>
    <mergeCell ref="Y10:AH10"/>
    <mergeCell ref="AY7:BM7"/>
    <mergeCell ref="BN6:BS6"/>
    <mergeCell ref="AJ5:AP5"/>
    <mergeCell ref="AY5:BM5"/>
    <mergeCell ref="AQ5:AT5"/>
    <mergeCell ref="Y24:AH24"/>
    <mergeCell ref="AJ14:AN14"/>
    <mergeCell ref="AJ19:AN19"/>
    <mergeCell ref="AJ17:AN17"/>
    <mergeCell ref="AJ16:AN16"/>
    <mergeCell ref="AJ15:AN15"/>
    <mergeCell ref="AD14:AH14"/>
    <mergeCell ref="AJ24:AN24"/>
    <mergeCell ref="AJ18:AN18"/>
    <mergeCell ref="AJ23:AN23"/>
    <mergeCell ref="ES16:EX16"/>
    <mergeCell ref="Y22:AH22"/>
    <mergeCell ref="Y23:AD23"/>
    <mergeCell ref="AE23:AH23"/>
    <mergeCell ref="DV17:EA18"/>
    <mergeCell ref="EH18:EL18"/>
    <mergeCell ref="EH17:EL17"/>
    <mergeCell ref="DV15:EA16"/>
    <mergeCell ref="BS22:BY23"/>
    <mergeCell ref="Y18:AC18"/>
    <mergeCell ref="C7:W7"/>
    <mergeCell ref="Y13:AH13"/>
    <mergeCell ref="Y12:AH12"/>
    <mergeCell ref="AE11:AH11"/>
    <mergeCell ref="R10:W10"/>
    <mergeCell ref="C12:Q12"/>
    <mergeCell ref="C13:Q13"/>
    <mergeCell ref="R12:W12"/>
    <mergeCell ref="C11:Q11"/>
    <mergeCell ref="R11:W11"/>
    <mergeCell ref="AO7:AT7"/>
    <mergeCell ref="AO6:AT6"/>
    <mergeCell ref="Y14:AC14"/>
    <mergeCell ref="Y17:AC17"/>
    <mergeCell ref="AD15:AH15"/>
    <mergeCell ref="AD16:AH16"/>
    <mergeCell ref="AJ13:AN13"/>
    <mergeCell ref="AJ12:AN12"/>
    <mergeCell ref="AO14:AT14"/>
    <mergeCell ref="AO23:AT23"/>
    <mergeCell ref="BU13:BY13"/>
    <mergeCell ref="BU12:BY12"/>
    <mergeCell ref="BU11:BY11"/>
    <mergeCell ref="BN12:BS12"/>
    <mergeCell ref="AY13:BM13"/>
    <mergeCell ref="AO19:AT19"/>
    <mergeCell ref="AO18:AT18"/>
    <mergeCell ref="AY12:BM12"/>
    <mergeCell ref="BP21:CA21"/>
    <mergeCell ref="BI27:BK27"/>
    <mergeCell ref="BC29:BK29"/>
    <mergeCell ref="BZ11:CD11"/>
    <mergeCell ref="BN11:BS11"/>
    <mergeCell ref="BU18:BX18"/>
    <mergeCell ref="BY18:CB18"/>
    <mergeCell ref="CC18:CL18"/>
    <mergeCell ref="AY11:BM11"/>
    <mergeCell ref="CL20:CO20"/>
    <mergeCell ref="CC20:CF20"/>
    <mergeCell ref="CF5:CJ5"/>
    <mergeCell ref="CK12:CP12"/>
    <mergeCell ref="CK11:CP11"/>
    <mergeCell ref="CF11:CJ11"/>
    <mergeCell ref="CF12:CJ12"/>
    <mergeCell ref="CK10:CP10"/>
    <mergeCell ref="CK7:CP7"/>
    <mergeCell ref="CK6:CP6"/>
    <mergeCell ref="BZ8:CD8"/>
    <mergeCell ref="CF6:CJ6"/>
    <mergeCell ref="CF7:CJ7"/>
    <mergeCell ref="CF8:CJ8"/>
    <mergeCell ref="CL31:CN31"/>
    <mergeCell ref="BS31:BU31"/>
    <mergeCell ref="BV31:BY31"/>
    <mergeCell ref="CD31:CG31"/>
    <mergeCell ref="CI31:CK31"/>
    <mergeCell ref="CA31:CC31"/>
    <mergeCell ref="C2:AH2"/>
    <mergeCell ref="C3:AH4"/>
    <mergeCell ref="BN3:BS4"/>
    <mergeCell ref="AY3:BM4"/>
    <mergeCell ref="AJ3:AT3"/>
    <mergeCell ref="AY2:BM2"/>
    <mergeCell ref="BN2:BS2"/>
    <mergeCell ref="CF3:CP4"/>
    <mergeCell ref="BU3:CD4"/>
    <mergeCell ref="BU17:CD17"/>
    <mergeCell ref="CC16:CL16"/>
    <mergeCell ref="BU10:BY10"/>
    <mergeCell ref="BU9:BY9"/>
    <mergeCell ref="BZ7:CD7"/>
    <mergeCell ref="CF9:CJ9"/>
    <mergeCell ref="CF10:CJ10"/>
    <mergeCell ref="BZ9:CD9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H34"/>
  <sheetViews>
    <sheetView zoomScale="85" zoomScaleNormal="85" workbookViewId="0" topLeftCell="IV1">
      <selection activeCell="A1" sqref="A1:IV16384"/>
    </sheetView>
  </sheetViews>
  <sheetFormatPr defaultColWidth="9.140625" defaultRowHeight="12.75"/>
  <cols>
    <col min="1" max="16384" width="0" style="0" hidden="1" customWidth="1"/>
  </cols>
  <sheetData>
    <row r="4" ht="36" customHeight="1"/>
    <row r="6" spans="1:7" ht="12.75">
      <c r="A6" s="1" t="s">
        <v>26</v>
      </c>
      <c r="B6" s="46">
        <f>Properties!AJ11</f>
        <v>1176.4705882352941</v>
      </c>
      <c r="C6" t="s">
        <v>27</v>
      </c>
      <c r="E6" s="1" t="s">
        <v>30</v>
      </c>
      <c r="F6" s="46">
        <f>Properties!AJ23</f>
        <v>5882.352941176471</v>
      </c>
      <c r="G6" t="s">
        <v>27</v>
      </c>
    </row>
    <row r="7" spans="1:7" ht="12.75">
      <c r="A7" s="6" t="s">
        <v>28</v>
      </c>
      <c r="B7" s="8">
        <f>Qair1/(0.075*SpVol1)</f>
        <v>1003.7569703178812</v>
      </c>
      <c r="C7" t="s">
        <v>29</v>
      </c>
      <c r="E7" s="6" t="s">
        <v>31</v>
      </c>
      <c r="F7" s="8">
        <f>Qair2/(0.075*SpVol2)</f>
        <v>4790.969857136726</v>
      </c>
      <c r="G7" t="s">
        <v>29</v>
      </c>
    </row>
    <row r="9" spans="2:6" ht="12.75">
      <c r="B9" s="9" t="s">
        <v>46</v>
      </c>
      <c r="F9" s="9" t="s">
        <v>47</v>
      </c>
    </row>
    <row r="10" spans="1:7" ht="12.75">
      <c r="A10" t="s">
        <v>32</v>
      </c>
      <c r="B10" s="7">
        <f>Qair1*60/SpVol1</f>
        <v>4516.906366430465</v>
      </c>
      <c r="C10" t="s">
        <v>34</v>
      </c>
      <c r="E10" t="s">
        <v>33</v>
      </c>
      <c r="F10" s="7">
        <f>Qair2*60/SpVol2</f>
        <v>21559.364357115268</v>
      </c>
      <c r="G10" t="s">
        <v>34</v>
      </c>
    </row>
    <row r="12" spans="4:5" ht="12.75">
      <c r="D12" s="9" t="s">
        <v>48</v>
      </c>
      <c r="E12" t="s">
        <v>49</v>
      </c>
    </row>
    <row r="13" spans="3:5" ht="12.75">
      <c r="C13" t="s">
        <v>35</v>
      </c>
      <c r="D13" s="8">
        <f>mflow1+mflow2</f>
        <v>26076.270723545735</v>
      </c>
      <c r="E13" t="s">
        <v>34</v>
      </c>
    </row>
    <row r="14" spans="3:6" ht="12.75">
      <c r="C14" t="s">
        <v>45</v>
      </c>
      <c r="D14" s="10">
        <f>mflow3*SpVol3/60</f>
        <v>7058.379179413603</v>
      </c>
      <c r="E14" t="s">
        <v>27</v>
      </c>
      <c r="F14" s="47"/>
    </row>
    <row r="15" spans="3:6" ht="12.75">
      <c r="C15" t="s">
        <v>38</v>
      </c>
      <c r="D15" s="3">
        <f>Tdb2-(Tdb2-Tdb1)*(mflow1/mflow3)</f>
        <v>93.68205742846756</v>
      </c>
      <c r="E15" t="s">
        <v>0</v>
      </c>
      <c r="F15" s="48"/>
    </row>
    <row r="16" spans="3:5" ht="12.75">
      <c r="C16" t="s">
        <v>36</v>
      </c>
      <c r="D16" s="2">
        <f>HRatio2-(HRatio2-HRatio1)*(mflow1/mflow3)</f>
        <v>0.018482749593214495</v>
      </c>
      <c r="E16" t="s">
        <v>2</v>
      </c>
    </row>
    <row r="17" spans="4:5" ht="12.75">
      <c r="D17" s="3">
        <f>HRatio3*7000</f>
        <v>129.37924715250145</v>
      </c>
      <c r="E17" t="s">
        <v>9</v>
      </c>
    </row>
    <row r="18" spans="3:6" ht="12.75">
      <c r="C18" t="s">
        <v>39</v>
      </c>
      <c r="D18" s="3">
        <f>Twbfind(Tdb3,HRatio3,Elevation)</f>
        <v>76.6820574284796</v>
      </c>
      <c r="E18" t="s">
        <v>0</v>
      </c>
      <c r="F18" s="47"/>
    </row>
    <row r="19" spans="3:6" ht="12.75">
      <c r="C19" t="s">
        <v>37</v>
      </c>
      <c r="D19" s="3">
        <f>RelHum(Tdb3,Twb3,Elevation)</f>
        <v>47.9943128568757</v>
      </c>
      <c r="E19" t="s">
        <v>5</v>
      </c>
      <c r="F19" s="47"/>
    </row>
    <row r="20" spans="3:6" ht="12.75">
      <c r="C20" t="s">
        <v>40</v>
      </c>
      <c r="D20" s="4">
        <f>0.24+HRatio3*0.444</f>
        <v>0.24820634081938722</v>
      </c>
      <c r="E20" t="s">
        <v>6</v>
      </c>
      <c r="F20" s="47"/>
    </row>
    <row r="21" spans="3:6" ht="12.75">
      <c r="C21" t="s">
        <v>41</v>
      </c>
      <c r="D21" s="3">
        <f>0.24*Tdb3+HRatio3*(1061+0.444*Tdb3)</f>
        <v>42.862677993152204</v>
      </c>
      <c r="E21" t="s">
        <v>7</v>
      </c>
      <c r="F21" s="47"/>
    </row>
    <row r="22" spans="3:6" ht="12.75">
      <c r="C22" t="s">
        <v>42</v>
      </c>
      <c r="D22" s="5">
        <f>0.7543*(Tdb3+459.67)*(1+1.6078*HRatio3)/APinHg</f>
        <v>16.240924757021013</v>
      </c>
      <c r="E22" t="s">
        <v>8</v>
      </c>
      <c r="F22" s="47"/>
    </row>
    <row r="23" spans="3:6" ht="12.75">
      <c r="C23" t="s">
        <v>43</v>
      </c>
      <c r="D23" s="3">
        <f>DewPoint(AtmPress,HRatio3)</f>
        <v>70.96371506705206</v>
      </c>
      <c r="E23" t="s">
        <v>0</v>
      </c>
      <c r="F23" s="47"/>
    </row>
    <row r="27" spans="4:8" ht="12.75">
      <c r="D27" s="340">
        <f>mflow3*SpVol3/60</f>
        <v>7058.379179413603</v>
      </c>
      <c r="E27" s="341"/>
      <c r="F27" s="341"/>
      <c r="G27" s="341"/>
      <c r="H27" s="341"/>
    </row>
    <row r="28" spans="4:8" ht="12.75">
      <c r="D28" s="336">
        <f>Tdb2-(Tdb2-Tdb1)*(mflow1/mflow3)</f>
        <v>93.68205742846756</v>
      </c>
      <c r="E28" s="337"/>
      <c r="F28" s="337"/>
      <c r="G28" s="337"/>
      <c r="H28" s="337"/>
    </row>
    <row r="29" spans="4:8" ht="12.75">
      <c r="D29" s="336">
        <f>Twbfind(Tdb3,HRatio3,Elevation)</f>
        <v>76.6820574284796</v>
      </c>
      <c r="E29" s="337"/>
      <c r="F29" s="337"/>
      <c r="G29" s="337"/>
      <c r="H29" s="337"/>
    </row>
    <row r="30" spans="4:8" ht="12.75">
      <c r="D30" s="336">
        <f>RelHum(Tdb3,Twb3,Elevation)</f>
        <v>47.9943128568757</v>
      </c>
      <c r="E30" s="337"/>
      <c r="F30" s="337"/>
      <c r="G30" s="337"/>
      <c r="H30" s="337"/>
    </row>
    <row r="31" spans="4:8" ht="12.75">
      <c r="D31" s="334">
        <f>0.24+HRatio3*0.444</f>
        <v>0.24820634081938722</v>
      </c>
      <c r="E31" s="335"/>
      <c r="F31" s="335"/>
      <c r="G31" s="335"/>
      <c r="H31" s="335"/>
    </row>
    <row r="32" spans="4:8" ht="12.75">
      <c r="D32" s="336">
        <f>0.24*Tdb3+HRatio3*(1061+0.444*Tdb3)</f>
        <v>42.862677993152204</v>
      </c>
      <c r="E32" s="337"/>
      <c r="F32" s="337"/>
      <c r="G32" s="337"/>
      <c r="H32" s="337"/>
    </row>
    <row r="33" spans="4:8" ht="12.75">
      <c r="D33" s="338">
        <f>0.7543*(Tdb3+459.67)*(1+1.6078*HRatio3)/APinHg</f>
        <v>16.240924757021013</v>
      </c>
      <c r="E33" s="339"/>
      <c r="F33" s="339"/>
      <c r="G33" s="339"/>
      <c r="H33" s="339"/>
    </row>
    <row r="34" spans="4:8" ht="12.75">
      <c r="D34" s="336">
        <f>DewPoint(AtmPress,HRatio3)</f>
        <v>70.96371506705206</v>
      </c>
      <c r="E34" s="337"/>
      <c r="F34" s="337"/>
      <c r="G34" s="337"/>
      <c r="H34" s="337"/>
    </row>
  </sheetData>
  <sheetProtection password="CE2A" sheet="1" objects="1" scenarios="1"/>
  <mergeCells count="8">
    <mergeCell ref="D27:H27"/>
    <mergeCell ref="D28:H28"/>
    <mergeCell ref="D29:H29"/>
    <mergeCell ref="D30:H30"/>
    <mergeCell ref="D31:H31"/>
    <mergeCell ref="D32:H32"/>
    <mergeCell ref="D33:H33"/>
    <mergeCell ref="D34:H3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Skavanaugh</dc:creator>
  <cp:keywords/>
  <dc:description/>
  <cp:lastModifiedBy>oem</cp:lastModifiedBy>
  <cp:lastPrinted>2008-02-27T14:00:52Z</cp:lastPrinted>
  <dcterms:created xsi:type="dcterms:W3CDTF">2003-09-23T19:14:25Z</dcterms:created>
  <dcterms:modified xsi:type="dcterms:W3CDTF">2008-03-03T14:18:55Z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-899575001</vt:i4>
  </property>
  <property fmtid="{D5CDD505-2E9C-101B-9397-08002B2CF9AE}" pid="3" name="_EmailSubject">
    <vt:lpwstr>Program &amp; Lunch &amp; HVAC page</vt:lpwstr>
  </property>
  <property fmtid="{D5CDD505-2E9C-101B-9397-08002B2CF9AE}" pid="4" name="_AuthorEmail">
    <vt:lpwstr>Skavanaugh@eng.ua.edu</vt:lpwstr>
  </property>
  <property fmtid="{D5CDD505-2E9C-101B-9397-08002B2CF9AE}" pid="5" name="_AuthorEmailDisplayName">
    <vt:lpwstr>Steve Kavanaugh</vt:lpwstr>
  </property>
  <property fmtid="{D5CDD505-2E9C-101B-9397-08002B2CF9AE}" pid="6" name="_PreviousAdHocReviewCycleID">
    <vt:i4>-1215038926</vt:i4>
  </property>
  <property fmtid="{D5CDD505-2E9C-101B-9397-08002B2CF9AE}" pid="7" name="_ReviewingToolsShownOnce">
    <vt:lpwstr/>
  </property>
</Properties>
</file>